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omments8.xml" ContentType="application/vnd.openxmlformats-officedocument.spreadsheetml.comments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omments9.xml" ContentType="application/vnd.openxmlformats-officedocument.spreadsheetml.comments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omments10.xml" ContentType="application/vnd.openxmlformats-officedocument.spreadsheetml.comments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omments11.xml" ContentType="application/vnd.openxmlformats-officedocument.spreadsheetml.comments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omments12.xml" ContentType="application/vnd.openxmlformats-officedocument.spreadsheetml.comments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omments13.xml" ContentType="application/vnd.openxmlformats-officedocument.spreadsheetml.comments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omments14.xml" ContentType="application/vnd.openxmlformats-officedocument.spreadsheetml.comments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omments15.xml" ContentType="application/vnd.openxmlformats-officedocument.spreadsheetml.comments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omments16.xml" ContentType="application/vnd.openxmlformats-officedocument.spreadsheetml.comments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omments17.xml" ContentType="application/vnd.openxmlformats-officedocument.spreadsheetml.comments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omments18.xml" ContentType="application/vnd.openxmlformats-officedocument.spreadsheetml.comments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omments19.xml" ContentType="application/vnd.openxmlformats-officedocument.spreadsheetml.comments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omments20.xml" ContentType="application/vnd.openxmlformats-officedocument.spreadsheetml.comments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omments21.xml" ContentType="application/vnd.openxmlformats-officedocument.spreadsheetml.comments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omments22.xml" ContentType="application/vnd.openxmlformats-officedocument.spreadsheetml.comments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omments23.xml" ContentType="application/vnd.openxmlformats-officedocument.spreadsheetml.comments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omments24.xml" ContentType="application/vnd.openxmlformats-officedocument.spreadsheetml.comments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omments25.xml" ContentType="application/vnd.openxmlformats-officedocument.spreadsheetml.comments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omments26.xml" ContentType="application/vnd.openxmlformats-officedocument.spreadsheetml.comments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omments27.xml" ContentType="application/vnd.openxmlformats-officedocument.spreadsheetml.comments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omments28.xml" ContentType="application/vnd.openxmlformats-officedocument.spreadsheetml.comments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omments29.xml" ContentType="application/vnd.openxmlformats-officedocument.spreadsheetml.comments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omments30.xml" ContentType="application/vnd.openxmlformats-officedocument.spreadsheetml.comments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omments31.xml" ContentType="application/vnd.openxmlformats-officedocument.spreadsheetml.comments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omments32.xml" ContentType="application/vnd.openxmlformats-officedocument.spreadsheetml.comments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omments33.xml" ContentType="application/vnd.openxmlformats-officedocument.spreadsheetml.comments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omments34.xml" ContentType="application/vnd.openxmlformats-officedocument.spreadsheetml.comments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omments35.xml" ContentType="application/vnd.openxmlformats-officedocument.spreadsheetml.comments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omments36.xml" ContentType="application/vnd.openxmlformats-officedocument.spreadsheetml.comments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omments37.xml" ContentType="application/vnd.openxmlformats-officedocument.spreadsheetml.comments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omments38.xml" ContentType="application/vnd.openxmlformats-officedocument.spreadsheetml.comments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omments39.xml" ContentType="application/vnd.openxmlformats-officedocument.spreadsheetml.comments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omments40.xml" ContentType="application/vnd.openxmlformats-officedocument.spreadsheetml.comments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omments41.xml" ContentType="application/vnd.openxmlformats-officedocument.spreadsheetml.comments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omments42.xml" ContentType="application/vnd.openxmlformats-officedocument.spreadsheetml.comments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omments43.xml" ContentType="application/vnd.openxmlformats-officedocument.spreadsheetml.comments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omments44.xml" ContentType="application/vnd.openxmlformats-officedocument.spreadsheetml.comments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omments45.xml" ContentType="application/vnd.openxmlformats-officedocument.spreadsheetml.comments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omments46.xml" ContentType="application/vnd.openxmlformats-officedocument.spreadsheetml.comments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omments47.xml" ContentType="application/vnd.openxmlformats-officedocument.spreadsheetml.comments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omments48.xml" ContentType="application/vnd.openxmlformats-officedocument.spreadsheetml.comments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omments49.xml" ContentType="application/vnd.openxmlformats-officedocument.spreadsheetml.comments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omments50.xml" ContentType="application/vnd.openxmlformats-officedocument.spreadsheetml.comments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omments51.xml" ContentType="application/vnd.openxmlformats-officedocument.spreadsheetml.comments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omments52.xml" ContentType="application/vnd.openxmlformats-officedocument.spreadsheetml.comments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drawings/drawing105.xml" ContentType="application/vnd.openxmlformats-officedocument.drawing+xml"/>
  <Override PartName="/xl/comments53.xml" ContentType="application/vnd.openxmlformats-officedocument.spreadsheetml.comments+xml"/>
  <Override PartName="/xl/charts/chart53.xml" ContentType="application/vnd.openxmlformats-officedocument.drawingml.chart+xml"/>
  <Override PartName="/xl/drawings/drawing106.xml" ContentType="application/vnd.openxmlformats-officedocument.drawingml.chartshapes+xml"/>
  <Override PartName="/xl/drawings/drawing107.xml" ContentType="application/vnd.openxmlformats-officedocument.drawing+xml"/>
  <Override PartName="/xl/comments54.xml" ContentType="application/vnd.openxmlformats-officedocument.spreadsheetml.comments+xml"/>
  <Override PartName="/xl/charts/chart54.xml" ContentType="application/vnd.openxmlformats-officedocument.drawingml.chart+xml"/>
  <Override PartName="/xl/drawings/drawing108.xml" ContentType="application/vnd.openxmlformats-officedocument.drawingml.chartshapes+xml"/>
  <Override PartName="/xl/drawings/drawing109.xml" ContentType="application/vnd.openxmlformats-officedocument.drawing+xml"/>
  <Override PartName="/xl/comments55.xml" ContentType="application/vnd.openxmlformats-officedocument.spreadsheetml.comments+xml"/>
  <Override PartName="/xl/charts/chart55.xml" ContentType="application/vnd.openxmlformats-officedocument.drawingml.chart+xml"/>
  <Override PartName="/xl/drawings/drawing110.xml" ContentType="application/vnd.openxmlformats-officedocument.drawingml.chartshapes+xml"/>
  <Override PartName="/xl/drawings/drawing111.xml" ContentType="application/vnd.openxmlformats-officedocument.drawing+xml"/>
  <Override PartName="/xl/comments56.xml" ContentType="application/vnd.openxmlformats-officedocument.spreadsheetml.comments+xml"/>
  <Override PartName="/xl/charts/chart56.xml" ContentType="application/vnd.openxmlformats-officedocument.drawingml.chart+xml"/>
  <Override PartName="/xl/drawings/drawing112.xml" ContentType="application/vnd.openxmlformats-officedocument.drawingml.chartshapes+xml"/>
  <Override PartName="/xl/drawings/drawing113.xml" ContentType="application/vnd.openxmlformats-officedocument.drawing+xml"/>
  <Override PartName="/xl/comments57.xml" ContentType="application/vnd.openxmlformats-officedocument.spreadsheetml.comments+xml"/>
  <Override PartName="/xl/charts/chart57.xml" ContentType="application/vnd.openxmlformats-officedocument.drawingml.chart+xml"/>
  <Override PartName="/xl/drawings/drawing114.xml" ContentType="application/vnd.openxmlformats-officedocument.drawingml.chartshapes+xml"/>
  <Override PartName="/xl/drawings/drawing115.xml" ContentType="application/vnd.openxmlformats-officedocument.drawing+xml"/>
  <Override PartName="/xl/comments58.xml" ContentType="application/vnd.openxmlformats-officedocument.spreadsheetml.comments+xml"/>
  <Override PartName="/xl/charts/chart58.xml" ContentType="application/vnd.openxmlformats-officedocument.drawingml.chart+xml"/>
  <Override PartName="/xl/drawings/drawing116.xml" ContentType="application/vnd.openxmlformats-officedocument.drawingml.chartshapes+xml"/>
  <Override PartName="/xl/drawings/drawing117.xml" ContentType="application/vnd.openxmlformats-officedocument.drawing+xml"/>
  <Override PartName="/xl/comments59.xml" ContentType="application/vnd.openxmlformats-officedocument.spreadsheetml.comments+xml"/>
  <Override PartName="/xl/charts/chart59.xml" ContentType="application/vnd.openxmlformats-officedocument.drawingml.chart+xml"/>
  <Override PartName="/xl/drawings/drawing118.xml" ContentType="application/vnd.openxmlformats-officedocument.drawingml.chartshapes+xml"/>
  <Override PartName="/xl/drawings/drawing119.xml" ContentType="application/vnd.openxmlformats-officedocument.drawing+xml"/>
  <Override PartName="/xl/comments60.xml" ContentType="application/vnd.openxmlformats-officedocument.spreadsheetml.comments+xml"/>
  <Override PartName="/xl/charts/chart60.xml" ContentType="application/vnd.openxmlformats-officedocument.drawingml.chart+xml"/>
  <Override PartName="/xl/drawings/drawing120.xml" ContentType="application/vnd.openxmlformats-officedocument.drawingml.chartshapes+xml"/>
  <Override PartName="/xl/drawings/drawing121.xml" ContentType="application/vnd.openxmlformats-officedocument.drawing+xml"/>
  <Override PartName="/xl/comments61.xml" ContentType="application/vnd.openxmlformats-officedocument.spreadsheetml.comments+xml"/>
  <Override PartName="/xl/charts/chart61.xml" ContentType="application/vnd.openxmlformats-officedocument.drawingml.chart+xml"/>
  <Override PartName="/xl/drawings/drawing122.xml" ContentType="application/vnd.openxmlformats-officedocument.drawingml.chartshapes+xml"/>
  <Override PartName="/xl/drawings/drawing123.xml" ContentType="application/vnd.openxmlformats-officedocument.drawing+xml"/>
  <Override PartName="/xl/comments62.xml" ContentType="application/vnd.openxmlformats-officedocument.spreadsheetml.comments+xml"/>
  <Override PartName="/xl/charts/chart62.xml" ContentType="application/vnd.openxmlformats-officedocument.drawingml.chart+xml"/>
  <Override PartName="/xl/drawings/drawing124.xml" ContentType="application/vnd.openxmlformats-officedocument.drawingml.chartshapes+xml"/>
  <Override PartName="/xl/drawings/drawing125.xml" ContentType="application/vnd.openxmlformats-officedocument.drawing+xml"/>
  <Override PartName="/xl/comments63.xml" ContentType="application/vnd.openxmlformats-officedocument.spreadsheetml.comments+xml"/>
  <Override PartName="/xl/charts/chart63.xml" ContentType="application/vnd.openxmlformats-officedocument.drawingml.chart+xml"/>
  <Override PartName="/xl/drawings/drawing126.xml" ContentType="application/vnd.openxmlformats-officedocument.drawingml.chartshapes+xml"/>
  <Override PartName="/xl/drawings/drawing127.xml" ContentType="application/vnd.openxmlformats-officedocument.drawing+xml"/>
  <Override PartName="/xl/comments64.xml" ContentType="application/vnd.openxmlformats-officedocument.spreadsheetml.comments+xml"/>
  <Override PartName="/xl/charts/chart64.xml" ContentType="application/vnd.openxmlformats-officedocument.drawingml.chart+xml"/>
  <Override PartName="/xl/drawings/drawing128.xml" ContentType="application/vnd.openxmlformats-officedocument.drawingml.chartshapes+xml"/>
  <Override PartName="/xl/drawings/drawing129.xml" ContentType="application/vnd.openxmlformats-officedocument.drawing+xml"/>
  <Override PartName="/xl/comments65.xml" ContentType="application/vnd.openxmlformats-officedocument.spreadsheetml.comments+xml"/>
  <Override PartName="/xl/charts/chart65.xml" ContentType="application/vnd.openxmlformats-officedocument.drawingml.chart+xml"/>
  <Override PartName="/xl/drawings/drawing130.xml" ContentType="application/vnd.openxmlformats-officedocument.drawingml.chartshapes+xml"/>
  <Override PartName="/xl/drawings/drawing131.xml" ContentType="application/vnd.openxmlformats-officedocument.drawing+xml"/>
  <Override PartName="/xl/comments66.xml" ContentType="application/vnd.openxmlformats-officedocument.spreadsheetml.comments+xml"/>
  <Override PartName="/xl/charts/chart66.xml" ContentType="application/vnd.openxmlformats-officedocument.drawingml.chart+xml"/>
  <Override PartName="/xl/drawings/drawing132.xml" ContentType="application/vnd.openxmlformats-officedocument.drawingml.chartshapes+xml"/>
  <Override PartName="/xl/drawings/drawing133.xml" ContentType="application/vnd.openxmlformats-officedocument.drawing+xml"/>
  <Override PartName="/xl/comments67.xml" ContentType="application/vnd.openxmlformats-officedocument.spreadsheetml.comments+xml"/>
  <Override PartName="/xl/charts/chart67.xml" ContentType="application/vnd.openxmlformats-officedocument.drawingml.chart+xml"/>
  <Override PartName="/xl/drawings/drawing134.xml" ContentType="application/vnd.openxmlformats-officedocument.drawingml.chartshapes+xml"/>
  <Override PartName="/xl/drawings/drawing135.xml" ContentType="application/vnd.openxmlformats-officedocument.drawing+xml"/>
  <Override PartName="/xl/comments68.xml" ContentType="application/vnd.openxmlformats-officedocument.spreadsheetml.comments+xml"/>
  <Override PartName="/xl/charts/chart68.xml" ContentType="application/vnd.openxmlformats-officedocument.drawingml.chart+xml"/>
  <Override PartName="/xl/drawings/drawing136.xml" ContentType="application/vnd.openxmlformats-officedocument.drawingml.chartshapes+xml"/>
  <Override PartName="/xl/drawings/drawing137.xml" ContentType="application/vnd.openxmlformats-officedocument.drawing+xml"/>
  <Override PartName="/xl/comments69.xml" ContentType="application/vnd.openxmlformats-officedocument.spreadsheetml.comments+xml"/>
  <Override PartName="/xl/charts/chart69.xml" ContentType="application/vnd.openxmlformats-officedocument.drawingml.chart+xml"/>
  <Override PartName="/xl/drawings/drawing138.xml" ContentType="application/vnd.openxmlformats-officedocument.drawingml.chartshapes+xml"/>
  <Override PartName="/xl/drawings/drawing139.xml" ContentType="application/vnd.openxmlformats-officedocument.drawing+xml"/>
  <Override PartName="/xl/comments70.xml" ContentType="application/vnd.openxmlformats-officedocument.spreadsheetml.comments+xml"/>
  <Override PartName="/xl/charts/chart70.xml" ContentType="application/vnd.openxmlformats-officedocument.drawingml.chart+xml"/>
  <Override PartName="/xl/drawings/drawing140.xml" ContentType="application/vnd.openxmlformats-officedocument.drawingml.chartshapes+xml"/>
  <Override PartName="/xl/drawings/drawing141.xml" ContentType="application/vnd.openxmlformats-officedocument.drawing+xml"/>
  <Override PartName="/xl/comments71.xml" ContentType="application/vnd.openxmlformats-officedocument.spreadsheetml.comments+xml"/>
  <Override PartName="/xl/charts/chart71.xml" ContentType="application/vnd.openxmlformats-officedocument.drawingml.chart+xml"/>
  <Override PartName="/xl/drawings/drawing142.xml" ContentType="application/vnd.openxmlformats-officedocument.drawingml.chartshapes+xml"/>
  <Override PartName="/xl/drawings/drawing143.xml" ContentType="application/vnd.openxmlformats-officedocument.drawing+xml"/>
  <Override PartName="/xl/comments72.xml" ContentType="application/vnd.openxmlformats-officedocument.spreadsheetml.comments+xml"/>
  <Override PartName="/xl/charts/chart72.xml" ContentType="application/vnd.openxmlformats-officedocument.drawingml.chart+xml"/>
  <Override PartName="/xl/drawings/drawing144.xml" ContentType="application/vnd.openxmlformats-officedocument.drawingml.chartshapes+xml"/>
  <Override PartName="/xl/drawings/drawing145.xml" ContentType="application/vnd.openxmlformats-officedocument.drawing+xml"/>
  <Override PartName="/xl/comments73.xml" ContentType="application/vnd.openxmlformats-officedocument.spreadsheetml.comments+xml"/>
  <Override PartName="/xl/charts/chart73.xml" ContentType="application/vnd.openxmlformats-officedocument.drawingml.chart+xml"/>
  <Override PartName="/xl/drawings/drawing146.xml" ContentType="application/vnd.openxmlformats-officedocument.drawingml.chartshapes+xml"/>
  <Override PartName="/xl/drawings/drawing147.xml" ContentType="application/vnd.openxmlformats-officedocument.drawing+xml"/>
  <Override PartName="/xl/comments74.xml" ContentType="application/vnd.openxmlformats-officedocument.spreadsheetml.comments+xml"/>
  <Override PartName="/xl/charts/chart74.xml" ContentType="application/vnd.openxmlformats-officedocument.drawingml.chart+xml"/>
  <Override PartName="/xl/drawings/drawing148.xml" ContentType="application/vnd.openxmlformats-officedocument.drawingml.chartshapes+xml"/>
  <Override PartName="/xl/drawings/drawing149.xml" ContentType="application/vnd.openxmlformats-officedocument.drawing+xml"/>
  <Override PartName="/xl/comments75.xml" ContentType="application/vnd.openxmlformats-officedocument.spreadsheetml.comments+xml"/>
  <Override PartName="/xl/charts/chart75.xml" ContentType="application/vnd.openxmlformats-officedocument.drawingml.chart+xml"/>
  <Override PartName="/xl/drawings/drawing150.xml" ContentType="application/vnd.openxmlformats-officedocument.drawingml.chartshapes+xml"/>
  <Override PartName="/xl/drawings/drawing151.xml" ContentType="application/vnd.openxmlformats-officedocument.drawing+xml"/>
  <Override PartName="/xl/comments76.xml" ContentType="application/vnd.openxmlformats-officedocument.spreadsheetml.comments+xml"/>
  <Override PartName="/xl/charts/chart76.xml" ContentType="application/vnd.openxmlformats-officedocument.drawingml.chart+xml"/>
  <Override PartName="/xl/drawings/drawing152.xml" ContentType="application/vnd.openxmlformats-officedocument.drawingml.chartshapes+xml"/>
  <Override PartName="/xl/drawings/drawing153.xml" ContentType="application/vnd.openxmlformats-officedocument.drawing+xml"/>
  <Override PartName="/xl/comments77.xml" ContentType="application/vnd.openxmlformats-officedocument.spreadsheetml.comments+xml"/>
  <Override PartName="/xl/charts/chart77.xml" ContentType="application/vnd.openxmlformats-officedocument.drawingml.chart+xml"/>
  <Override PartName="/xl/drawings/drawing154.xml" ContentType="application/vnd.openxmlformats-officedocument.drawingml.chartshapes+xml"/>
  <Override PartName="/xl/drawings/drawing155.xml" ContentType="application/vnd.openxmlformats-officedocument.drawing+xml"/>
  <Override PartName="/xl/comments78.xml" ContentType="application/vnd.openxmlformats-officedocument.spreadsheetml.comments+xml"/>
  <Override PartName="/xl/charts/chart78.xml" ContentType="application/vnd.openxmlformats-officedocument.drawingml.chart+xml"/>
  <Override PartName="/xl/drawings/drawing156.xml" ContentType="application/vnd.openxmlformats-officedocument.drawingml.chartshapes+xml"/>
  <Override PartName="/xl/drawings/drawing157.xml" ContentType="application/vnd.openxmlformats-officedocument.drawing+xml"/>
  <Override PartName="/xl/comments79.xml" ContentType="application/vnd.openxmlformats-officedocument.spreadsheetml.comments+xml"/>
  <Override PartName="/xl/charts/chart79.xml" ContentType="application/vnd.openxmlformats-officedocument.drawingml.chart+xml"/>
  <Override PartName="/xl/drawings/drawing158.xml" ContentType="application/vnd.openxmlformats-officedocument.drawingml.chartshapes+xml"/>
  <Override PartName="/xl/drawings/drawing159.xml" ContentType="application/vnd.openxmlformats-officedocument.drawing+xml"/>
  <Override PartName="/xl/comments80.xml" ContentType="application/vnd.openxmlformats-officedocument.spreadsheetml.comments+xml"/>
  <Override PartName="/xl/charts/chart80.xml" ContentType="application/vnd.openxmlformats-officedocument.drawingml.chart+xml"/>
  <Override PartName="/xl/drawings/drawing160.xml" ContentType="application/vnd.openxmlformats-officedocument.drawingml.chartshapes+xml"/>
  <Override PartName="/xl/drawings/drawing161.xml" ContentType="application/vnd.openxmlformats-officedocument.drawing+xml"/>
  <Override PartName="/xl/comments81.xml" ContentType="application/vnd.openxmlformats-officedocument.spreadsheetml.comments+xml"/>
  <Override PartName="/xl/charts/chart81.xml" ContentType="application/vnd.openxmlformats-officedocument.drawingml.chart+xml"/>
  <Override PartName="/xl/drawings/drawing162.xml" ContentType="application/vnd.openxmlformats-officedocument.drawingml.chartshapes+xml"/>
  <Override PartName="/xl/drawings/drawing163.xml" ContentType="application/vnd.openxmlformats-officedocument.drawing+xml"/>
  <Override PartName="/xl/comments82.xml" ContentType="application/vnd.openxmlformats-officedocument.spreadsheetml.comments+xml"/>
  <Override PartName="/xl/charts/chart82.xml" ContentType="application/vnd.openxmlformats-officedocument.drawingml.chart+xml"/>
  <Override PartName="/xl/drawings/drawing164.xml" ContentType="application/vnd.openxmlformats-officedocument.drawingml.chartshapes+xml"/>
  <Override PartName="/xl/drawings/drawing165.xml" ContentType="application/vnd.openxmlformats-officedocument.drawing+xml"/>
  <Override PartName="/xl/comments83.xml" ContentType="application/vnd.openxmlformats-officedocument.spreadsheetml.comments+xml"/>
  <Override PartName="/xl/charts/chart83.xml" ContentType="application/vnd.openxmlformats-officedocument.drawingml.chart+xml"/>
  <Override PartName="/xl/drawings/drawing166.xml" ContentType="application/vnd.openxmlformats-officedocument.drawingml.chartshapes+xml"/>
  <Override PartName="/xl/drawings/drawing167.xml" ContentType="application/vnd.openxmlformats-officedocument.drawing+xml"/>
  <Override PartName="/xl/comments84.xml" ContentType="application/vnd.openxmlformats-officedocument.spreadsheetml.comments+xml"/>
  <Override PartName="/xl/charts/chart84.xml" ContentType="application/vnd.openxmlformats-officedocument.drawingml.chart+xml"/>
  <Override PartName="/xl/drawings/drawing168.xml" ContentType="application/vnd.openxmlformats-officedocument.drawingml.chartshapes+xml"/>
  <Override PartName="/xl/drawings/drawing169.xml" ContentType="application/vnd.openxmlformats-officedocument.drawing+xml"/>
  <Override PartName="/xl/comments85.xml" ContentType="application/vnd.openxmlformats-officedocument.spreadsheetml.comments+xml"/>
  <Override PartName="/xl/charts/chart85.xml" ContentType="application/vnd.openxmlformats-officedocument.drawingml.chart+xml"/>
  <Override PartName="/xl/drawings/drawing170.xml" ContentType="application/vnd.openxmlformats-officedocument.drawingml.chartshapes+xml"/>
  <Override PartName="/xl/drawings/drawing171.xml" ContentType="application/vnd.openxmlformats-officedocument.drawing+xml"/>
  <Override PartName="/xl/comments86.xml" ContentType="application/vnd.openxmlformats-officedocument.spreadsheetml.comments+xml"/>
  <Override PartName="/xl/charts/chart86.xml" ContentType="application/vnd.openxmlformats-officedocument.drawingml.chart+xml"/>
  <Override PartName="/xl/drawings/drawing172.xml" ContentType="application/vnd.openxmlformats-officedocument.drawingml.chartshapes+xml"/>
  <Override PartName="/xl/drawings/drawing173.xml" ContentType="application/vnd.openxmlformats-officedocument.drawing+xml"/>
  <Override PartName="/xl/comments87.xml" ContentType="application/vnd.openxmlformats-officedocument.spreadsheetml.comments+xml"/>
  <Override PartName="/xl/charts/chart87.xml" ContentType="application/vnd.openxmlformats-officedocument.drawingml.chart+xml"/>
  <Override PartName="/xl/drawings/drawing174.xml" ContentType="application/vnd.openxmlformats-officedocument.drawingml.chartshapes+xml"/>
  <Override PartName="/xl/drawings/drawing175.xml" ContentType="application/vnd.openxmlformats-officedocument.drawing+xml"/>
  <Override PartName="/xl/comments88.xml" ContentType="application/vnd.openxmlformats-officedocument.spreadsheetml.comments+xml"/>
  <Override PartName="/xl/charts/chart88.xml" ContentType="application/vnd.openxmlformats-officedocument.drawingml.chart+xml"/>
  <Override PartName="/xl/drawings/drawing176.xml" ContentType="application/vnd.openxmlformats-officedocument.drawingml.chartshapes+xml"/>
  <Override PartName="/xl/drawings/drawing177.xml" ContentType="application/vnd.openxmlformats-officedocument.drawing+xml"/>
  <Override PartName="/xl/comments89.xml" ContentType="application/vnd.openxmlformats-officedocument.spreadsheetml.comments+xml"/>
  <Override PartName="/xl/charts/chart89.xml" ContentType="application/vnd.openxmlformats-officedocument.drawingml.chart+xml"/>
  <Override PartName="/xl/drawings/drawing178.xml" ContentType="application/vnd.openxmlformats-officedocument.drawingml.chartshapes+xml"/>
  <Override PartName="/xl/drawings/drawing179.xml" ContentType="application/vnd.openxmlformats-officedocument.drawing+xml"/>
  <Override PartName="/xl/comments90.xml" ContentType="application/vnd.openxmlformats-officedocument.spreadsheetml.comments+xml"/>
  <Override PartName="/xl/charts/chart90.xml" ContentType="application/vnd.openxmlformats-officedocument.drawingml.chart+xml"/>
  <Override PartName="/xl/drawings/drawing180.xml" ContentType="application/vnd.openxmlformats-officedocument.drawingml.chartshapes+xml"/>
  <Override PartName="/xl/drawings/drawing181.xml" ContentType="application/vnd.openxmlformats-officedocument.drawing+xml"/>
  <Override PartName="/xl/comments91.xml" ContentType="application/vnd.openxmlformats-officedocument.spreadsheetml.comments+xml"/>
  <Override PartName="/xl/charts/chart91.xml" ContentType="application/vnd.openxmlformats-officedocument.drawingml.chart+xml"/>
  <Override PartName="/xl/drawings/drawing182.xml" ContentType="application/vnd.openxmlformats-officedocument.drawingml.chartshapes+xml"/>
  <Override PartName="/xl/drawings/drawing183.xml" ContentType="application/vnd.openxmlformats-officedocument.drawing+xml"/>
  <Override PartName="/xl/comments92.xml" ContentType="application/vnd.openxmlformats-officedocument.spreadsheetml.comments+xml"/>
  <Override PartName="/xl/charts/chart92.xml" ContentType="application/vnd.openxmlformats-officedocument.drawingml.chart+xml"/>
  <Override PartName="/xl/drawings/drawing184.xml" ContentType="application/vnd.openxmlformats-officedocument.drawingml.chartshapes+xml"/>
  <Override PartName="/xl/drawings/drawing185.xml" ContentType="application/vnd.openxmlformats-officedocument.drawing+xml"/>
  <Override PartName="/xl/comments93.xml" ContentType="application/vnd.openxmlformats-officedocument.spreadsheetml.comments+xml"/>
  <Override PartName="/xl/charts/chart93.xml" ContentType="application/vnd.openxmlformats-officedocument.drawingml.chart+xml"/>
  <Override PartName="/xl/drawings/drawing186.xml" ContentType="application/vnd.openxmlformats-officedocument.drawingml.chartshapes+xml"/>
  <Override PartName="/xl/drawings/drawing187.xml" ContentType="application/vnd.openxmlformats-officedocument.drawing+xml"/>
  <Override PartName="/xl/comments94.xml" ContentType="application/vnd.openxmlformats-officedocument.spreadsheetml.comments+xml"/>
  <Override PartName="/xl/charts/chart94.xml" ContentType="application/vnd.openxmlformats-officedocument.drawingml.chart+xml"/>
  <Override PartName="/xl/drawings/drawing188.xml" ContentType="application/vnd.openxmlformats-officedocument.drawingml.chartshapes+xml"/>
  <Override PartName="/xl/drawings/drawing189.xml" ContentType="application/vnd.openxmlformats-officedocument.drawing+xml"/>
  <Override PartName="/xl/comments95.xml" ContentType="application/vnd.openxmlformats-officedocument.spreadsheetml.comments+xml"/>
  <Override PartName="/xl/charts/chart95.xml" ContentType="application/vnd.openxmlformats-officedocument.drawingml.chart+xml"/>
  <Override PartName="/xl/drawings/drawing190.xml" ContentType="application/vnd.openxmlformats-officedocument.drawingml.chartshapes+xml"/>
  <Override PartName="/xl/drawings/drawing191.xml" ContentType="application/vnd.openxmlformats-officedocument.drawing+xml"/>
  <Override PartName="/xl/comments96.xml" ContentType="application/vnd.openxmlformats-officedocument.spreadsheetml.comments+xml"/>
  <Override PartName="/xl/charts/chart96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comments97.xml" ContentType="application/vnd.openxmlformats-officedocument.spreadsheetml.comments+xml"/>
  <Override PartName="/xl/charts/chart97.xml" ContentType="application/vnd.openxmlformats-officedocument.drawingml.chart+xml"/>
  <Override PartName="/xl/drawings/drawing194.xml" ContentType="application/vnd.openxmlformats-officedocument.drawingml.chartshapes+xml"/>
  <Override PartName="/xl/drawings/drawing195.xml" ContentType="application/vnd.openxmlformats-officedocument.drawing+xml"/>
  <Override PartName="/xl/comments98.xml" ContentType="application/vnd.openxmlformats-officedocument.spreadsheetml.comments+xml"/>
  <Override PartName="/xl/charts/chart98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comments99.xml" ContentType="application/vnd.openxmlformats-officedocument.spreadsheetml.comments+xml"/>
  <Override PartName="/xl/charts/chart99.xml" ContentType="application/vnd.openxmlformats-officedocument.drawingml.chart+xml"/>
  <Override PartName="/xl/drawings/drawing198.xml" ContentType="application/vnd.openxmlformats-officedocument.drawingml.chartshapes+xml"/>
  <Override PartName="/xl/drawings/drawing199.xml" ContentType="application/vnd.openxmlformats-officedocument.drawing+xml"/>
  <Override PartName="/xl/comments100.xml" ContentType="application/vnd.openxmlformats-officedocument.spreadsheetml.comments+xml"/>
  <Override PartName="/xl/charts/chart100.xml" ContentType="application/vnd.openxmlformats-officedocument.drawingml.chart+xml"/>
  <Override PartName="/xl/drawings/drawing200.xml" ContentType="application/vnd.openxmlformats-officedocument.drawingml.chartshapes+xml"/>
  <Override PartName="/xl/drawings/drawing201.xml" ContentType="application/vnd.openxmlformats-officedocument.drawing+xml"/>
  <Override PartName="/xl/comments101.xml" ContentType="application/vnd.openxmlformats-officedocument.spreadsheetml.comments+xml"/>
  <Override PartName="/xl/charts/chart101.xml" ContentType="application/vnd.openxmlformats-officedocument.drawingml.chart+xml"/>
  <Override PartName="/xl/drawings/drawing202.xml" ContentType="application/vnd.openxmlformats-officedocument.drawingml.chartshapes+xml"/>
  <Override PartName="/xl/drawings/drawing203.xml" ContentType="application/vnd.openxmlformats-officedocument.drawing+xml"/>
  <Override PartName="/xl/comments102.xml" ContentType="application/vnd.openxmlformats-officedocument.spreadsheetml.comments+xml"/>
  <Override PartName="/xl/charts/chart102.xml" ContentType="application/vnd.openxmlformats-officedocument.drawingml.chart+xml"/>
  <Override PartName="/xl/drawings/drawing204.xml" ContentType="application/vnd.openxmlformats-officedocument.drawingml.chartshapes+xml"/>
  <Override PartName="/xl/drawings/drawing205.xml" ContentType="application/vnd.openxmlformats-officedocument.drawing+xml"/>
  <Override PartName="/xl/comments103.xml" ContentType="application/vnd.openxmlformats-officedocument.spreadsheetml.comments+xml"/>
  <Override PartName="/xl/charts/chart103.xml" ContentType="application/vnd.openxmlformats-officedocument.drawingml.chart+xml"/>
  <Override PartName="/xl/drawings/drawing206.xml" ContentType="application/vnd.openxmlformats-officedocument.drawingml.chartshapes+xml"/>
  <Override PartName="/xl/drawings/drawing207.xml" ContentType="application/vnd.openxmlformats-officedocument.drawing+xml"/>
  <Override PartName="/xl/comments104.xml" ContentType="application/vnd.openxmlformats-officedocument.spreadsheetml.comments+xml"/>
  <Override PartName="/xl/charts/chart104.xml" ContentType="application/vnd.openxmlformats-officedocument.drawingml.chart+xml"/>
  <Override PartName="/xl/drawings/drawing208.xml" ContentType="application/vnd.openxmlformats-officedocument.drawingml.chartshapes+xml"/>
  <Override PartName="/xl/drawings/drawing209.xml" ContentType="application/vnd.openxmlformats-officedocument.drawing+xml"/>
  <Override PartName="/xl/comments105.xml" ContentType="application/vnd.openxmlformats-officedocument.spreadsheetml.comments+xml"/>
  <Override PartName="/xl/charts/chart105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comments106.xml" ContentType="application/vnd.openxmlformats-officedocument.spreadsheetml.comments+xml"/>
  <Override PartName="/xl/charts/chart106.xml" ContentType="application/vnd.openxmlformats-officedocument.drawingml.chart+xml"/>
  <Override PartName="/xl/drawings/drawing212.xml" ContentType="application/vnd.openxmlformats-officedocument.drawingml.chartshapes+xml"/>
  <Override PartName="/xl/drawings/drawing213.xml" ContentType="application/vnd.openxmlformats-officedocument.drawing+xml"/>
  <Override PartName="/xl/comments107.xml" ContentType="application/vnd.openxmlformats-officedocument.spreadsheetml.comments+xml"/>
  <Override PartName="/xl/charts/chart107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comments108.xml" ContentType="application/vnd.openxmlformats-officedocument.spreadsheetml.comments+xml"/>
  <Override PartName="/xl/charts/chart108.xml" ContentType="application/vnd.openxmlformats-officedocument.drawingml.chart+xml"/>
  <Override PartName="/xl/drawings/drawing216.xml" ContentType="application/vnd.openxmlformats-officedocument.drawingml.chartshapes+xml"/>
  <Override PartName="/xl/drawings/drawing217.xml" ContentType="application/vnd.openxmlformats-officedocument.drawing+xml"/>
  <Override PartName="/xl/comments109.xml" ContentType="application/vnd.openxmlformats-officedocument.spreadsheetml.comments+xml"/>
  <Override PartName="/xl/charts/chart109.xml" ContentType="application/vnd.openxmlformats-officedocument.drawingml.chart+xml"/>
  <Override PartName="/xl/drawings/drawing218.xml" ContentType="application/vnd.openxmlformats-officedocument.drawingml.chartshapes+xml"/>
  <Override PartName="/xl/drawings/drawing219.xml" ContentType="application/vnd.openxmlformats-officedocument.drawing+xml"/>
  <Override PartName="/xl/comments110.xml" ContentType="application/vnd.openxmlformats-officedocument.spreadsheetml.comments+xml"/>
  <Override PartName="/xl/charts/chart110.xml" ContentType="application/vnd.openxmlformats-officedocument.drawingml.chart+xml"/>
  <Override PartName="/xl/drawings/drawing220.xml" ContentType="application/vnd.openxmlformats-officedocument.drawingml.chartshapes+xml"/>
  <Override PartName="/xl/drawings/drawing221.xml" ContentType="application/vnd.openxmlformats-officedocument.drawing+xml"/>
  <Override PartName="/xl/comments111.xml" ContentType="application/vnd.openxmlformats-officedocument.spreadsheetml.comments+xml"/>
  <Override PartName="/xl/charts/chart111.xml" ContentType="application/vnd.openxmlformats-officedocument.drawingml.chart+xml"/>
  <Override PartName="/xl/drawings/drawing222.xml" ContentType="application/vnd.openxmlformats-officedocument.drawingml.chartshapes+xml"/>
  <Override PartName="/xl/drawings/drawing223.xml" ContentType="application/vnd.openxmlformats-officedocument.drawing+xml"/>
  <Override PartName="/xl/comments112.xml" ContentType="application/vnd.openxmlformats-officedocument.spreadsheetml.comments+xml"/>
  <Override PartName="/xl/charts/chart112.xml" ContentType="application/vnd.openxmlformats-officedocument.drawingml.chart+xml"/>
  <Override PartName="/xl/drawings/drawing224.xml" ContentType="application/vnd.openxmlformats-officedocument.drawingml.chartshapes+xml"/>
  <Override PartName="/xl/drawings/drawing225.xml" ContentType="application/vnd.openxmlformats-officedocument.drawing+xml"/>
  <Override PartName="/xl/comments113.xml" ContentType="application/vnd.openxmlformats-officedocument.spreadsheetml.comments+xml"/>
  <Override PartName="/xl/charts/chart113.xml" ContentType="application/vnd.openxmlformats-officedocument.drawingml.chart+xml"/>
  <Override PartName="/xl/drawings/drawing226.xml" ContentType="application/vnd.openxmlformats-officedocument.drawingml.chartshapes+xml"/>
  <Override PartName="/xl/drawings/drawing227.xml" ContentType="application/vnd.openxmlformats-officedocument.drawing+xml"/>
  <Override PartName="/xl/comments114.xml" ContentType="application/vnd.openxmlformats-officedocument.spreadsheetml.comments+xml"/>
  <Override PartName="/xl/charts/chart114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comments115.xml" ContentType="application/vnd.openxmlformats-officedocument.spreadsheetml.comments+xml"/>
  <Override PartName="/xl/charts/chart115.xml" ContentType="application/vnd.openxmlformats-officedocument.drawingml.chart+xml"/>
  <Override PartName="/xl/drawings/drawing230.xml" ContentType="application/vnd.openxmlformats-officedocument.drawingml.chartshapes+xml"/>
  <Override PartName="/xl/drawings/drawing231.xml" ContentType="application/vnd.openxmlformats-officedocument.drawing+xml"/>
  <Override PartName="/xl/comments116.xml" ContentType="application/vnd.openxmlformats-officedocument.spreadsheetml.comments+xml"/>
  <Override PartName="/xl/charts/chart116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comments117.xml" ContentType="application/vnd.openxmlformats-officedocument.spreadsheetml.comments+xml"/>
  <Override PartName="/xl/charts/chart117.xml" ContentType="application/vnd.openxmlformats-officedocument.drawingml.chart+xml"/>
  <Override PartName="/xl/drawings/drawing234.xml" ContentType="application/vnd.openxmlformats-officedocument.drawingml.chartshapes+xml"/>
  <Override PartName="/xl/drawings/drawing235.xml" ContentType="application/vnd.openxmlformats-officedocument.drawing+xml"/>
  <Override PartName="/xl/comments118.xml" ContentType="application/vnd.openxmlformats-officedocument.spreadsheetml.comments+xml"/>
  <Override PartName="/xl/charts/chart118.xml" ContentType="application/vnd.openxmlformats-officedocument.drawingml.chart+xml"/>
  <Override PartName="/xl/drawings/drawing236.xml" ContentType="application/vnd.openxmlformats-officedocument.drawingml.chartshapes+xml"/>
  <Override PartName="/xl/drawings/drawing237.xml" ContentType="application/vnd.openxmlformats-officedocument.drawing+xml"/>
  <Override PartName="/xl/comments119.xml" ContentType="application/vnd.openxmlformats-officedocument.spreadsheetml.comments+xml"/>
  <Override PartName="/xl/charts/chart119.xml" ContentType="application/vnd.openxmlformats-officedocument.drawingml.chart+xml"/>
  <Override PartName="/xl/drawings/drawing238.xml" ContentType="application/vnd.openxmlformats-officedocument.drawingml.chartshapes+xml"/>
  <Override PartName="/xl/drawings/drawing239.xml" ContentType="application/vnd.openxmlformats-officedocument.drawing+xml"/>
  <Override PartName="/xl/comments120.xml" ContentType="application/vnd.openxmlformats-officedocument.spreadsheetml.comments+xml"/>
  <Override PartName="/xl/charts/chart120.xml" ContentType="application/vnd.openxmlformats-officedocument.drawingml.chart+xml"/>
  <Override PartName="/xl/drawings/drawing240.xml" ContentType="application/vnd.openxmlformats-officedocument.drawingml.chartshapes+xml"/>
  <Override PartName="/xl/drawings/drawing241.xml" ContentType="application/vnd.openxmlformats-officedocument.drawing+xml"/>
  <Override PartName="/xl/comments121.xml" ContentType="application/vnd.openxmlformats-officedocument.spreadsheetml.comments+xml"/>
  <Override PartName="/xl/charts/chart121.xml" ContentType="application/vnd.openxmlformats-officedocument.drawingml.chart+xml"/>
  <Override PartName="/xl/drawings/drawing242.xml" ContentType="application/vnd.openxmlformats-officedocument.drawingml.chartshapes+xml"/>
  <Override PartName="/xl/drawings/drawing243.xml" ContentType="application/vnd.openxmlformats-officedocument.drawing+xml"/>
  <Override PartName="/xl/comments122.xml" ContentType="application/vnd.openxmlformats-officedocument.spreadsheetml.comments+xml"/>
  <Override PartName="/xl/charts/chart122.xml" ContentType="application/vnd.openxmlformats-officedocument.drawingml.chart+xml"/>
  <Override PartName="/xl/drawings/drawing244.xml" ContentType="application/vnd.openxmlformats-officedocument.drawingml.chartshapes+xml"/>
  <Override PartName="/xl/drawings/drawing245.xml" ContentType="application/vnd.openxmlformats-officedocument.drawing+xml"/>
  <Override PartName="/xl/comments123.xml" ContentType="application/vnd.openxmlformats-officedocument.spreadsheetml.comments+xml"/>
  <Override PartName="/xl/charts/chart123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comments124.xml" ContentType="application/vnd.openxmlformats-officedocument.spreadsheetml.comments+xml"/>
  <Override PartName="/xl/charts/chart124.xml" ContentType="application/vnd.openxmlformats-officedocument.drawingml.chart+xml"/>
  <Override PartName="/xl/drawings/drawing248.xml" ContentType="application/vnd.openxmlformats-officedocument.drawingml.chartshapes+xml"/>
  <Override PartName="/xl/drawings/drawing249.xml" ContentType="application/vnd.openxmlformats-officedocument.drawing+xml"/>
  <Override PartName="/xl/comments125.xml" ContentType="application/vnd.openxmlformats-officedocument.spreadsheetml.comments+xml"/>
  <Override PartName="/xl/charts/chart125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comments126.xml" ContentType="application/vnd.openxmlformats-officedocument.spreadsheetml.comments+xml"/>
  <Override PartName="/xl/charts/chart126.xml" ContentType="application/vnd.openxmlformats-officedocument.drawingml.chart+xml"/>
  <Override PartName="/xl/drawings/drawing252.xml" ContentType="application/vnd.openxmlformats-officedocument.drawingml.chartshapes+xml"/>
  <Override PartName="/xl/drawings/drawing253.xml" ContentType="application/vnd.openxmlformats-officedocument.drawing+xml"/>
  <Override PartName="/xl/comments127.xml" ContentType="application/vnd.openxmlformats-officedocument.spreadsheetml.comments+xml"/>
  <Override PartName="/xl/charts/chart127.xml" ContentType="application/vnd.openxmlformats-officedocument.drawingml.chart+xml"/>
  <Override PartName="/xl/drawings/drawing254.xml" ContentType="application/vnd.openxmlformats-officedocument.drawingml.chartshapes+xml"/>
  <Override PartName="/xl/drawings/drawing255.xml" ContentType="application/vnd.openxmlformats-officedocument.drawing+xml"/>
  <Override PartName="/xl/comments128.xml" ContentType="application/vnd.openxmlformats-officedocument.spreadsheetml.comments+xml"/>
  <Override PartName="/xl/charts/chart128.xml" ContentType="application/vnd.openxmlformats-officedocument.drawingml.chart+xml"/>
  <Override PartName="/xl/drawings/drawing256.xml" ContentType="application/vnd.openxmlformats-officedocument.drawingml.chartshapes+xml"/>
  <Override PartName="/xl/drawings/drawing257.xml" ContentType="application/vnd.openxmlformats-officedocument.drawing+xml"/>
  <Override PartName="/xl/comments129.xml" ContentType="application/vnd.openxmlformats-officedocument.spreadsheetml.comments+xml"/>
  <Override PartName="/xl/charts/chart129.xml" ContentType="application/vnd.openxmlformats-officedocument.drawingml.chart+xml"/>
  <Override PartName="/xl/drawings/drawing258.xml" ContentType="application/vnd.openxmlformats-officedocument.drawingml.chartshapes+xml"/>
  <Override PartName="/xl/drawings/drawing259.xml" ContentType="application/vnd.openxmlformats-officedocument.drawing+xml"/>
  <Override PartName="/xl/comments130.xml" ContentType="application/vnd.openxmlformats-officedocument.spreadsheetml.comments+xml"/>
  <Override PartName="/xl/charts/chart130.xml" ContentType="application/vnd.openxmlformats-officedocument.drawingml.chart+xml"/>
  <Override PartName="/xl/drawings/drawing260.xml" ContentType="application/vnd.openxmlformats-officedocument.drawingml.chartshapes+xml"/>
  <Override PartName="/xl/drawings/drawing261.xml" ContentType="application/vnd.openxmlformats-officedocument.drawing+xml"/>
  <Override PartName="/xl/comments131.xml" ContentType="application/vnd.openxmlformats-officedocument.spreadsheetml.comments+xml"/>
  <Override PartName="/xl/charts/chart131.xml" ContentType="application/vnd.openxmlformats-officedocument.drawingml.chart+xml"/>
  <Override PartName="/xl/drawings/drawing262.xml" ContentType="application/vnd.openxmlformats-officedocument.drawingml.chartshapes+xml"/>
  <Override PartName="/xl/drawings/drawing263.xml" ContentType="application/vnd.openxmlformats-officedocument.drawing+xml"/>
  <Override PartName="/xl/comments132.xml" ContentType="application/vnd.openxmlformats-officedocument.spreadsheetml.comments+xml"/>
  <Override PartName="/xl/charts/chart132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comments133.xml" ContentType="application/vnd.openxmlformats-officedocument.spreadsheetml.comments+xml"/>
  <Override PartName="/xl/charts/chart133.xml" ContentType="application/vnd.openxmlformats-officedocument.drawingml.chart+xml"/>
  <Override PartName="/xl/drawings/drawing266.xml" ContentType="application/vnd.openxmlformats-officedocument.drawingml.chartshapes+xml"/>
  <Override PartName="/xl/drawings/drawing267.xml" ContentType="application/vnd.openxmlformats-officedocument.drawing+xml"/>
  <Override PartName="/xl/comments134.xml" ContentType="application/vnd.openxmlformats-officedocument.spreadsheetml.comments+xml"/>
  <Override PartName="/xl/charts/chart134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comments135.xml" ContentType="application/vnd.openxmlformats-officedocument.spreadsheetml.comments+xml"/>
  <Override PartName="/xl/charts/chart135.xml" ContentType="application/vnd.openxmlformats-officedocument.drawingml.chart+xml"/>
  <Override PartName="/xl/drawings/drawing270.xml" ContentType="application/vnd.openxmlformats-officedocument.drawingml.chartshapes+xml"/>
  <Override PartName="/xl/drawings/drawing271.xml" ContentType="application/vnd.openxmlformats-officedocument.drawing+xml"/>
  <Override PartName="/xl/comments136.xml" ContentType="application/vnd.openxmlformats-officedocument.spreadsheetml.comments+xml"/>
  <Override PartName="/xl/charts/chart136.xml" ContentType="application/vnd.openxmlformats-officedocument.drawingml.chart+xml"/>
  <Override PartName="/xl/drawings/drawing272.xml" ContentType="application/vnd.openxmlformats-officedocument.drawingml.chartshapes+xml"/>
  <Override PartName="/xl/drawings/drawing273.xml" ContentType="application/vnd.openxmlformats-officedocument.drawing+xml"/>
  <Override PartName="/xl/comments137.xml" ContentType="application/vnd.openxmlformats-officedocument.spreadsheetml.comments+xml"/>
  <Override PartName="/xl/charts/chart137.xml" ContentType="application/vnd.openxmlformats-officedocument.drawingml.chart+xml"/>
  <Override PartName="/xl/drawings/drawing274.xml" ContentType="application/vnd.openxmlformats-officedocument.drawingml.chartshapes+xml"/>
  <Override PartName="/xl/drawings/drawing275.xml" ContentType="application/vnd.openxmlformats-officedocument.drawing+xml"/>
  <Override PartName="/xl/comments138.xml" ContentType="application/vnd.openxmlformats-officedocument.spreadsheetml.comments+xml"/>
  <Override PartName="/xl/charts/chart138.xml" ContentType="application/vnd.openxmlformats-officedocument.drawingml.chart+xml"/>
  <Override PartName="/xl/drawings/drawing276.xml" ContentType="application/vnd.openxmlformats-officedocument.drawingml.chartshapes+xml"/>
  <Override PartName="/xl/drawings/drawing277.xml" ContentType="application/vnd.openxmlformats-officedocument.drawing+xml"/>
  <Override PartName="/xl/comments139.xml" ContentType="application/vnd.openxmlformats-officedocument.spreadsheetml.comments+xml"/>
  <Override PartName="/xl/charts/chart139.xml" ContentType="application/vnd.openxmlformats-officedocument.drawingml.chart+xml"/>
  <Override PartName="/xl/drawings/drawing278.xml" ContentType="application/vnd.openxmlformats-officedocument.drawingml.chartshapes+xml"/>
  <Override PartName="/xl/drawings/drawing279.xml" ContentType="application/vnd.openxmlformats-officedocument.drawing+xml"/>
  <Override PartName="/xl/comments140.xml" ContentType="application/vnd.openxmlformats-officedocument.spreadsheetml.comments+xml"/>
  <Override PartName="/xl/charts/chart140.xml" ContentType="application/vnd.openxmlformats-officedocument.drawingml.chart+xml"/>
  <Override PartName="/xl/drawings/drawing280.xml" ContentType="application/vnd.openxmlformats-officedocument.drawingml.chartshapes+xml"/>
  <Override PartName="/xl/drawings/drawing281.xml" ContentType="application/vnd.openxmlformats-officedocument.drawing+xml"/>
  <Override PartName="/xl/comments141.xml" ContentType="application/vnd.openxmlformats-officedocument.spreadsheetml.comments+xml"/>
  <Override PartName="/xl/charts/chart141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comments142.xml" ContentType="application/vnd.openxmlformats-officedocument.spreadsheetml.comments+xml"/>
  <Override PartName="/xl/charts/chart142.xml" ContentType="application/vnd.openxmlformats-officedocument.drawingml.chart+xml"/>
  <Override PartName="/xl/drawings/drawing284.xml" ContentType="application/vnd.openxmlformats-officedocument.drawingml.chartshapes+xml"/>
  <Override PartName="/xl/drawings/drawing285.xml" ContentType="application/vnd.openxmlformats-officedocument.drawing+xml"/>
  <Override PartName="/xl/comments143.xml" ContentType="application/vnd.openxmlformats-officedocument.spreadsheetml.comments+xml"/>
  <Override PartName="/xl/charts/chart143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comments144.xml" ContentType="application/vnd.openxmlformats-officedocument.spreadsheetml.comments+xml"/>
  <Override PartName="/xl/charts/chart144.xml" ContentType="application/vnd.openxmlformats-officedocument.drawingml.chart+xml"/>
  <Override PartName="/xl/drawings/drawing288.xml" ContentType="application/vnd.openxmlformats-officedocument.drawingml.chartshapes+xml"/>
  <Override PartName="/xl/drawings/drawing289.xml" ContentType="application/vnd.openxmlformats-officedocument.drawing+xml"/>
  <Override PartName="/xl/comments145.xml" ContentType="application/vnd.openxmlformats-officedocument.spreadsheetml.comments+xml"/>
  <Override PartName="/xl/charts/chart145.xml" ContentType="application/vnd.openxmlformats-officedocument.drawingml.chart+xml"/>
  <Override PartName="/xl/drawings/drawing290.xml" ContentType="application/vnd.openxmlformats-officedocument.drawingml.chartshapes+xml"/>
  <Override PartName="/xl/drawings/drawing291.xml" ContentType="application/vnd.openxmlformats-officedocument.drawing+xml"/>
  <Override PartName="/xl/comments146.xml" ContentType="application/vnd.openxmlformats-officedocument.spreadsheetml.comments+xml"/>
  <Override PartName="/xl/charts/chart146.xml" ContentType="application/vnd.openxmlformats-officedocument.drawingml.chart+xml"/>
  <Override PartName="/xl/drawings/drawing292.xml" ContentType="application/vnd.openxmlformats-officedocument.drawingml.chartshapes+xml"/>
  <Override PartName="/xl/drawings/drawing293.xml" ContentType="application/vnd.openxmlformats-officedocument.drawing+xml"/>
  <Override PartName="/xl/comments147.xml" ContentType="application/vnd.openxmlformats-officedocument.spreadsheetml.comments+xml"/>
  <Override PartName="/xl/charts/chart147.xml" ContentType="application/vnd.openxmlformats-officedocument.drawingml.chart+xml"/>
  <Override PartName="/xl/drawings/drawing294.xml" ContentType="application/vnd.openxmlformats-officedocument.drawingml.chartshapes+xml"/>
  <Override PartName="/xl/drawings/drawing295.xml" ContentType="application/vnd.openxmlformats-officedocument.drawing+xml"/>
  <Override PartName="/xl/comments148.xml" ContentType="application/vnd.openxmlformats-officedocument.spreadsheetml.comments+xml"/>
  <Override PartName="/xl/charts/chart148.xml" ContentType="application/vnd.openxmlformats-officedocument.drawingml.chart+xml"/>
  <Override PartName="/xl/drawings/drawing296.xml" ContentType="application/vnd.openxmlformats-officedocument.drawingml.chartshapes+xml"/>
  <Override PartName="/xl/drawings/drawing297.xml" ContentType="application/vnd.openxmlformats-officedocument.drawing+xml"/>
  <Override PartName="/xl/comments149.xml" ContentType="application/vnd.openxmlformats-officedocument.spreadsheetml.comments+xml"/>
  <Override PartName="/xl/charts/chart149.xml" ContentType="application/vnd.openxmlformats-officedocument.drawingml.chart+xml"/>
  <Override PartName="/xl/drawings/drawing298.xml" ContentType="application/vnd.openxmlformats-officedocument.drawingml.chartshapes+xml"/>
  <Override PartName="/xl/drawings/drawing299.xml" ContentType="application/vnd.openxmlformats-officedocument.drawing+xml"/>
  <Override PartName="/xl/comments150.xml" ContentType="application/vnd.openxmlformats-officedocument.spreadsheetml.comments+xml"/>
  <Override PartName="/xl/charts/chart15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comments151.xml" ContentType="application/vnd.openxmlformats-officedocument.spreadsheetml.comments+xml"/>
  <Override PartName="/xl/charts/chart151.xml" ContentType="application/vnd.openxmlformats-officedocument.drawingml.chart+xml"/>
  <Override PartName="/xl/drawings/drawing302.xml" ContentType="application/vnd.openxmlformats-officedocument.drawingml.chartshapes+xml"/>
  <Override PartName="/xl/drawings/drawing303.xml" ContentType="application/vnd.openxmlformats-officedocument.drawing+xml"/>
  <Override PartName="/xl/comments152.xml" ContentType="application/vnd.openxmlformats-officedocument.spreadsheetml.comments+xml"/>
  <Override PartName="/xl/charts/chart15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comments153.xml" ContentType="application/vnd.openxmlformats-officedocument.spreadsheetml.comments+xml"/>
  <Override PartName="/xl/charts/chart153.xml" ContentType="application/vnd.openxmlformats-officedocument.drawingml.chart+xml"/>
  <Override PartName="/xl/drawings/drawing306.xml" ContentType="application/vnd.openxmlformats-officedocument.drawingml.chartshapes+xml"/>
  <Override PartName="/xl/drawings/drawing307.xml" ContentType="application/vnd.openxmlformats-officedocument.drawing+xml"/>
  <Override PartName="/xl/comments154.xml" ContentType="application/vnd.openxmlformats-officedocument.spreadsheetml.comments+xml"/>
  <Override PartName="/xl/charts/chart154.xml" ContentType="application/vnd.openxmlformats-officedocument.drawingml.chart+xml"/>
  <Override PartName="/xl/drawings/drawing308.xml" ContentType="application/vnd.openxmlformats-officedocument.drawingml.chartshapes+xml"/>
  <Override PartName="/xl/drawings/drawing309.xml" ContentType="application/vnd.openxmlformats-officedocument.drawing+xml"/>
  <Override PartName="/xl/comments155.xml" ContentType="application/vnd.openxmlformats-officedocument.spreadsheetml.comments+xml"/>
  <Override PartName="/xl/charts/chart155.xml" ContentType="application/vnd.openxmlformats-officedocument.drawingml.chart+xml"/>
  <Override PartName="/xl/drawings/drawing310.xml" ContentType="application/vnd.openxmlformats-officedocument.drawingml.chartshapes+xml"/>
  <Override PartName="/xl/drawings/drawing311.xml" ContentType="application/vnd.openxmlformats-officedocument.drawing+xml"/>
  <Override PartName="/xl/comments156.xml" ContentType="application/vnd.openxmlformats-officedocument.spreadsheetml.comments+xml"/>
  <Override PartName="/xl/charts/chart156.xml" ContentType="application/vnd.openxmlformats-officedocument.drawingml.chart+xml"/>
  <Override PartName="/xl/drawings/drawing312.xml" ContentType="application/vnd.openxmlformats-officedocument.drawingml.chartshapes+xml"/>
  <Override PartName="/xl/drawings/drawing313.xml" ContentType="application/vnd.openxmlformats-officedocument.drawing+xml"/>
  <Override PartName="/xl/comments157.xml" ContentType="application/vnd.openxmlformats-officedocument.spreadsheetml.comments+xml"/>
  <Override PartName="/xl/charts/chart157.xml" ContentType="application/vnd.openxmlformats-officedocument.drawingml.chart+xml"/>
  <Override PartName="/xl/drawings/drawing314.xml" ContentType="application/vnd.openxmlformats-officedocument.drawingml.chartshapes+xml"/>
  <Override PartName="/xl/drawings/drawing315.xml" ContentType="application/vnd.openxmlformats-officedocument.drawing+xml"/>
  <Override PartName="/xl/comments158.xml" ContentType="application/vnd.openxmlformats-officedocument.spreadsheetml.comments+xml"/>
  <Override PartName="/xl/charts/chart158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omments159.xml" ContentType="application/vnd.openxmlformats-officedocument.spreadsheetml.comments+xml"/>
  <Override PartName="/xl/charts/chart159.xml" ContentType="application/vnd.openxmlformats-officedocument.drawingml.chart+xml"/>
  <Override PartName="/xl/drawings/drawing318.xml" ContentType="application/vnd.openxmlformats-officedocument.drawingml.chartshapes+xml"/>
  <Override PartName="/xl/drawings/drawing319.xml" ContentType="application/vnd.openxmlformats-officedocument.drawing+xml"/>
  <Override PartName="/xl/comments160.xml" ContentType="application/vnd.openxmlformats-officedocument.spreadsheetml.comments+xml"/>
  <Override PartName="/xl/charts/chart160.xml" ContentType="application/vnd.openxmlformats-officedocument.drawingml.chart+xml"/>
  <Override PartName="/xl/drawings/drawing320.xml" ContentType="application/vnd.openxmlformats-officedocument.drawingml.chartshapes+xml"/>
  <Override PartName="/xl/drawings/drawing321.xml" ContentType="application/vnd.openxmlformats-officedocument.drawing+xml"/>
  <Override PartName="/xl/comments161.xml" ContentType="application/vnd.openxmlformats-officedocument.spreadsheetml.comments+xml"/>
  <Override PartName="/xl/charts/chart161.xml" ContentType="application/vnd.openxmlformats-officedocument.drawingml.chart+xml"/>
  <Override PartName="/xl/drawings/drawing322.xml" ContentType="application/vnd.openxmlformats-officedocument.drawingml.chartshapes+xml"/>
  <Override PartName="/xl/drawings/drawing323.xml" ContentType="application/vnd.openxmlformats-officedocument.drawing+xml"/>
  <Override PartName="/xl/comments162.xml" ContentType="application/vnd.openxmlformats-officedocument.spreadsheetml.comments+xml"/>
  <Override PartName="/xl/charts/chart162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omments163.xml" ContentType="application/vnd.openxmlformats-officedocument.spreadsheetml.comments+xml"/>
  <Override PartName="/xl/charts/chart163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omments164.xml" ContentType="application/vnd.openxmlformats-officedocument.spreadsheetml.comments+xml"/>
  <Override PartName="/xl/charts/chart164.xml" ContentType="application/vnd.openxmlformats-officedocument.drawingml.chart+xml"/>
  <Override PartName="/xl/drawings/drawing328.xml" ContentType="application/vnd.openxmlformats-officedocument.drawingml.chartshapes+xml"/>
  <Override PartName="/xl/drawings/drawing329.xml" ContentType="application/vnd.openxmlformats-officedocument.drawing+xml"/>
  <Override PartName="/xl/comments165.xml" ContentType="application/vnd.openxmlformats-officedocument.spreadsheetml.comments+xml"/>
  <Override PartName="/xl/charts/chart165.xml" ContentType="application/vnd.openxmlformats-officedocument.drawingml.chart+xml"/>
  <Override PartName="/xl/drawings/drawing330.xml" ContentType="application/vnd.openxmlformats-officedocument.drawingml.chartshapes+xml"/>
  <Override PartName="/xl/drawings/drawing331.xml" ContentType="application/vnd.openxmlformats-officedocument.drawing+xml"/>
  <Override PartName="/xl/comments166.xml" ContentType="application/vnd.openxmlformats-officedocument.spreadsheetml.comments+xml"/>
  <Override PartName="/xl/charts/chart166.xml" ContentType="application/vnd.openxmlformats-officedocument.drawingml.chart+xml"/>
  <Override PartName="/xl/drawings/drawing332.xml" ContentType="application/vnd.openxmlformats-officedocument.drawingml.chartshapes+xml"/>
  <Override PartName="/xl/drawings/drawing333.xml" ContentType="application/vnd.openxmlformats-officedocument.drawing+xml"/>
  <Override PartName="/xl/comments167.xml" ContentType="application/vnd.openxmlformats-officedocument.spreadsheetml.comments+xml"/>
  <Override PartName="/xl/charts/chart167.xml" ContentType="application/vnd.openxmlformats-officedocument.drawingml.chart+xml"/>
  <Override PartName="/xl/drawings/drawing334.xml" ContentType="application/vnd.openxmlformats-officedocument.drawingml.chartshapes+xml"/>
  <Override PartName="/xl/drawings/drawing335.xml" ContentType="application/vnd.openxmlformats-officedocument.drawing+xml"/>
  <Override PartName="/xl/comments168.xml" ContentType="application/vnd.openxmlformats-officedocument.spreadsheetml.comments+xml"/>
  <Override PartName="/xl/charts/chart168.xml" ContentType="application/vnd.openxmlformats-officedocument.drawingml.chart+xml"/>
  <Override PartName="/xl/drawings/drawing336.xml" ContentType="application/vnd.openxmlformats-officedocument.drawingml.chartshapes+xml"/>
  <Override PartName="/xl/drawings/drawing337.xml" ContentType="application/vnd.openxmlformats-officedocument.drawing+xml"/>
  <Override PartName="/xl/comments169.xml" ContentType="application/vnd.openxmlformats-officedocument.spreadsheetml.comments+xml"/>
  <Override PartName="/xl/charts/chart169.xml" ContentType="application/vnd.openxmlformats-officedocument.drawingml.chart+xml"/>
  <Override PartName="/xl/drawings/drawing338.xml" ContentType="application/vnd.openxmlformats-officedocument.drawingml.chartshapes+xml"/>
  <Override PartName="/xl/drawings/drawing339.xml" ContentType="application/vnd.openxmlformats-officedocument.drawing+xml"/>
  <Override PartName="/xl/comments170.xml" ContentType="application/vnd.openxmlformats-officedocument.spreadsheetml.comments+xml"/>
  <Override PartName="/xl/charts/chart170.xml" ContentType="application/vnd.openxmlformats-officedocument.drawingml.chart+xml"/>
  <Override PartName="/xl/drawings/drawing340.xml" ContentType="application/vnd.openxmlformats-officedocument.drawingml.chartshapes+xml"/>
  <Override PartName="/xl/drawings/drawing341.xml" ContentType="application/vnd.openxmlformats-officedocument.drawing+xml"/>
  <Override PartName="/xl/comments171.xml" ContentType="application/vnd.openxmlformats-officedocument.spreadsheetml.comments+xml"/>
  <Override PartName="/xl/charts/chart171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comments172.xml" ContentType="application/vnd.openxmlformats-officedocument.spreadsheetml.comments+xml"/>
  <Override PartName="/xl/charts/chart172.xml" ContentType="application/vnd.openxmlformats-officedocument.drawingml.chart+xml"/>
  <Override PartName="/xl/drawings/drawing344.xml" ContentType="application/vnd.openxmlformats-officedocument.drawingml.chartshapes+xml"/>
  <Override PartName="/xl/drawings/drawing345.xml" ContentType="application/vnd.openxmlformats-officedocument.drawing+xml"/>
  <Override PartName="/xl/comments173.xml" ContentType="application/vnd.openxmlformats-officedocument.spreadsheetml.comments+xml"/>
  <Override PartName="/xl/charts/chart173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comments174.xml" ContentType="application/vnd.openxmlformats-officedocument.spreadsheetml.comments+xml"/>
  <Override PartName="/xl/charts/chart174.xml" ContentType="application/vnd.openxmlformats-officedocument.drawingml.chart+xml"/>
  <Override PartName="/xl/drawings/drawing348.xml" ContentType="application/vnd.openxmlformats-officedocument.drawingml.chartshapes+xml"/>
  <Override PartName="/xl/drawings/drawing349.xml" ContentType="application/vnd.openxmlformats-officedocument.drawing+xml"/>
  <Override PartName="/xl/comments175.xml" ContentType="application/vnd.openxmlformats-officedocument.spreadsheetml.comments+xml"/>
  <Override PartName="/xl/charts/chart175.xml" ContentType="application/vnd.openxmlformats-officedocument.drawingml.chart+xml"/>
  <Override PartName="/xl/drawings/drawing350.xml" ContentType="application/vnd.openxmlformats-officedocument.drawingml.chartshapes+xml"/>
  <Override PartName="/xl/drawings/drawing351.xml" ContentType="application/vnd.openxmlformats-officedocument.drawing+xml"/>
  <Override PartName="/xl/comments176.xml" ContentType="application/vnd.openxmlformats-officedocument.spreadsheetml.comments+xml"/>
  <Override PartName="/xl/charts/chart176.xml" ContentType="application/vnd.openxmlformats-officedocument.drawingml.chart+xml"/>
  <Override PartName="/xl/drawings/drawing352.xml" ContentType="application/vnd.openxmlformats-officedocument.drawingml.chartshapes+xml"/>
  <Override PartName="/xl/drawings/drawing353.xml" ContentType="application/vnd.openxmlformats-officedocument.drawing+xml"/>
  <Override PartName="/xl/comments177.xml" ContentType="application/vnd.openxmlformats-officedocument.spreadsheetml.comments+xml"/>
  <Override PartName="/xl/charts/chart177.xml" ContentType="application/vnd.openxmlformats-officedocument.drawingml.chart+xml"/>
  <Override PartName="/xl/drawings/drawing354.xml" ContentType="application/vnd.openxmlformats-officedocument.drawingml.chartshapes+xml"/>
  <Override PartName="/xl/drawings/drawing355.xml" ContentType="application/vnd.openxmlformats-officedocument.drawing+xml"/>
  <Override PartName="/xl/comments178.xml" ContentType="application/vnd.openxmlformats-officedocument.spreadsheetml.comments+xml"/>
  <Override PartName="/xl/charts/chart178.xml" ContentType="application/vnd.openxmlformats-officedocument.drawingml.chart+xml"/>
  <Override PartName="/xl/drawings/drawing356.xml" ContentType="application/vnd.openxmlformats-officedocument.drawingml.chartshapes+xml"/>
  <Override PartName="/xl/drawings/drawing357.xml" ContentType="application/vnd.openxmlformats-officedocument.drawing+xml"/>
  <Override PartName="/xl/comments179.xml" ContentType="application/vnd.openxmlformats-officedocument.spreadsheetml.comments+xml"/>
  <Override PartName="/xl/charts/chart179.xml" ContentType="application/vnd.openxmlformats-officedocument.drawingml.chart+xml"/>
  <Override PartName="/xl/drawings/drawing35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Fichrner\Desktop\StudyProject\Aquifer characterization\Sieving analysis\"/>
    </mc:Choice>
  </mc:AlternateContent>
  <bookViews>
    <workbookView xWindow="-15" yWindow="-15" windowWidth="11850" windowHeight="12405" tabRatio="810" firstSheet="165" activeTab="179"/>
  </bookViews>
  <sheets>
    <sheet name="1" sheetId="66" r:id="rId1"/>
    <sheet name="2" sheetId="67" r:id="rId2"/>
    <sheet name="3" sheetId="68" r:id="rId3"/>
    <sheet name="4" sheetId="69" r:id="rId4"/>
    <sheet name="5" sheetId="70" r:id="rId5"/>
    <sheet name="6" sheetId="71" r:id="rId6"/>
    <sheet name="7" sheetId="72" r:id="rId7"/>
    <sheet name="8" sheetId="73" r:id="rId8"/>
    <sheet name="9" sheetId="74" r:id="rId9"/>
    <sheet name="10" sheetId="75" r:id="rId10"/>
    <sheet name="11" sheetId="76" r:id="rId11"/>
    <sheet name="12" sheetId="77" r:id="rId12"/>
    <sheet name="13" sheetId="78" r:id="rId13"/>
    <sheet name="20" sheetId="79" r:id="rId14"/>
    <sheet name="21" sheetId="14" r:id="rId15"/>
    <sheet name="22" sheetId="80" r:id="rId16"/>
    <sheet name="23" sheetId="81" r:id="rId17"/>
    <sheet name="24" sheetId="82" r:id="rId18"/>
    <sheet name="25" sheetId="83" r:id="rId19"/>
    <sheet name="26" sheetId="84" r:id="rId20"/>
    <sheet name="27" sheetId="85" r:id="rId21"/>
    <sheet name="28" sheetId="86" r:id="rId22"/>
    <sheet name="29" sheetId="87" r:id="rId23"/>
    <sheet name="30" sheetId="88" r:id="rId24"/>
    <sheet name="31" sheetId="89" r:id="rId25"/>
    <sheet name="32" sheetId="90" r:id="rId26"/>
    <sheet name="33" sheetId="91" r:id="rId27"/>
    <sheet name="34" sheetId="15" r:id="rId28"/>
    <sheet name="35" sheetId="92" r:id="rId29"/>
    <sheet name="36" sheetId="93" r:id="rId30"/>
    <sheet name="37" sheetId="94" r:id="rId31"/>
    <sheet name="38" sheetId="39" r:id="rId32"/>
    <sheet name="39" sheetId="95" r:id="rId33"/>
    <sheet name="40" sheetId="96" r:id="rId34"/>
    <sheet name="41" sheetId="97" r:id="rId35"/>
    <sheet name="42" sheetId="98" r:id="rId36"/>
    <sheet name="43" sheetId="99" r:id="rId37"/>
    <sheet name="44" sheetId="40" r:id="rId38"/>
    <sheet name="45" sheetId="100" r:id="rId39"/>
    <sheet name="46" sheetId="101" r:id="rId40"/>
    <sheet name="47" sheetId="102" r:id="rId41"/>
    <sheet name="48" sheetId="103" r:id="rId42"/>
    <sheet name="49" sheetId="104" r:id="rId43"/>
    <sheet name="50" sheetId="105" r:id="rId44"/>
    <sheet name="51" sheetId="106" r:id="rId45"/>
    <sheet name="52" sheetId="107" r:id="rId46"/>
    <sheet name="53" sheetId="108" r:id="rId47"/>
    <sheet name="60" sheetId="109" r:id="rId48"/>
    <sheet name="61" sheetId="111" r:id="rId49"/>
    <sheet name="62" sheetId="41" r:id="rId50"/>
    <sheet name="63" sheetId="120" r:id="rId51"/>
    <sheet name="64" sheetId="135" r:id="rId52"/>
    <sheet name="65" sheetId="112" r:id="rId53"/>
    <sheet name="66" sheetId="113" r:id="rId54"/>
    <sheet name="67" sheetId="114" r:id="rId55"/>
    <sheet name="68" sheetId="115" r:id="rId56"/>
    <sheet name="69" sheetId="116" r:id="rId57"/>
    <sheet name="70" sheetId="117" r:id="rId58"/>
    <sheet name="71" sheetId="118" r:id="rId59"/>
    <sheet name="72" sheetId="131" r:id="rId60"/>
    <sheet name="73" sheetId="13" r:id="rId61"/>
    <sheet name="74" sheetId="129" r:id="rId62"/>
    <sheet name="75" sheetId="10" r:id="rId63"/>
    <sheet name="76" sheetId="16" r:id="rId64"/>
    <sheet name="77" sheetId="53" r:id="rId65"/>
    <sheet name="78" sheetId="59" r:id="rId66"/>
    <sheet name="79" sheetId="143" r:id="rId67"/>
    <sheet name="80" sheetId="139" r:id="rId68"/>
    <sheet name="81" sheetId="122" r:id="rId69"/>
    <sheet name="82" sheetId="123" r:id="rId70"/>
    <sheet name="83" sheetId="48" r:id="rId71"/>
    <sheet name="84" sheetId="52" r:id="rId72"/>
    <sheet name="85" sheetId="128" r:id="rId73"/>
    <sheet name="86" sheetId="132" r:id="rId74"/>
    <sheet name="87" sheetId="58" r:id="rId75"/>
    <sheet name="88" sheetId="49" r:id="rId76"/>
    <sheet name="89" sheetId="43" r:id="rId77"/>
    <sheet name="90" sheetId="44" r:id="rId78"/>
    <sheet name="91" sheetId="17" r:id="rId79"/>
    <sheet name="92" sheetId="45" r:id="rId80"/>
    <sheet name="93" sheetId="46" r:id="rId81"/>
    <sheet name="94" sheetId="47" r:id="rId82"/>
    <sheet name="95" sheetId="50" r:id="rId83"/>
    <sheet name="96" sheetId="54" r:id="rId84"/>
    <sheet name="97" sheetId="138" r:id="rId85"/>
    <sheet name="98" sheetId="37" r:id="rId86"/>
    <sheet name="99" sheetId="141" r:id="rId87"/>
    <sheet name="100" sheetId="61" r:id="rId88"/>
    <sheet name="101" sheetId="142" r:id="rId89"/>
    <sheet name="102" sheetId="62" r:id="rId90"/>
    <sheet name="103" sheetId="55" r:id="rId91"/>
    <sheet name="104" sheetId="137" r:id="rId92"/>
    <sheet name="105" sheetId="21" r:id="rId93"/>
    <sheet name="106" sheetId="22" r:id="rId94"/>
    <sheet name="107" sheetId="23" r:id="rId95"/>
    <sheet name="108" sheetId="24" r:id="rId96"/>
    <sheet name="109" sheetId="127" r:id="rId97"/>
    <sheet name="110" sheetId="57" r:id="rId98"/>
    <sheet name="111" sheetId="140" r:id="rId99"/>
    <sheet name="112" sheetId="25" r:id="rId100"/>
    <sheet name="113" sheetId="26" r:id="rId101"/>
    <sheet name="114" sheetId="124" r:id="rId102"/>
    <sheet name="115" sheetId="126" r:id="rId103"/>
    <sheet name="116" sheetId="56" r:id="rId104"/>
    <sheet name="117" sheetId="27" r:id="rId105"/>
    <sheet name="119" sheetId="125" r:id="rId106"/>
    <sheet name="120" sheetId="28" r:id="rId107"/>
    <sheet name="121" sheetId="130" r:id="rId108"/>
    <sheet name="122" sheetId="11" r:id="rId109"/>
    <sheet name="124" sheetId="144" r:id="rId110"/>
    <sheet name="125" sheetId="145" r:id="rId111"/>
    <sheet name="126" sheetId="42" r:id="rId112"/>
    <sheet name="127" sheetId="133" r:id="rId113"/>
    <sheet name="128" sheetId="30" r:id="rId114"/>
    <sheet name="129" sheetId="12" r:id="rId115"/>
    <sheet name="130" sheetId="146" r:id="rId116"/>
    <sheet name="131" sheetId="31" r:id="rId117"/>
    <sheet name="132" sheetId="32" r:id="rId118"/>
    <sheet name="133" sheetId="35" r:id="rId119"/>
    <sheet name="136" sheetId="157" r:id="rId120"/>
    <sheet name="137" sheetId="158" r:id="rId121"/>
    <sheet name="138" sheetId="159" r:id="rId122"/>
    <sheet name="139" sheetId="160" r:id="rId123"/>
    <sheet name="140" sheetId="161" r:id="rId124"/>
    <sheet name="141" sheetId="162" r:id="rId125"/>
    <sheet name="142" sheetId="163" r:id="rId126"/>
    <sheet name="143" sheetId="164" r:id="rId127"/>
    <sheet name="144" sheetId="165" r:id="rId128"/>
    <sheet name="145" sheetId="166" r:id="rId129"/>
    <sheet name="146" sheetId="167" r:id="rId130"/>
    <sheet name="147" sheetId="168" r:id="rId131"/>
    <sheet name="148" sheetId="169" r:id="rId132"/>
    <sheet name="149" sheetId="170" r:id="rId133"/>
    <sheet name="150" sheetId="171" r:id="rId134"/>
    <sheet name="151" sheetId="172" r:id="rId135"/>
    <sheet name="152" sheetId="173" r:id="rId136"/>
    <sheet name="153" sheetId="174" r:id="rId137"/>
    <sheet name="154" sheetId="175" r:id="rId138"/>
    <sheet name="155" sheetId="176" r:id="rId139"/>
    <sheet name="156" sheetId="177" r:id="rId140"/>
    <sheet name="157" sheetId="178" r:id="rId141"/>
    <sheet name="158" sheetId="179" r:id="rId142"/>
    <sheet name="159" sheetId="180" r:id="rId143"/>
    <sheet name="160" sheetId="181" r:id="rId144"/>
    <sheet name="161" sheetId="182" r:id="rId145"/>
    <sheet name="162" sheetId="183" r:id="rId146"/>
    <sheet name="163" sheetId="184" r:id="rId147"/>
    <sheet name="164" sheetId="185" r:id="rId148"/>
    <sheet name="165" sheetId="186" r:id="rId149"/>
    <sheet name="166" sheetId="187" r:id="rId150"/>
    <sheet name="167" sheetId="188" r:id="rId151"/>
    <sheet name="168" sheetId="189" r:id="rId152"/>
    <sheet name="169" sheetId="190" r:id="rId153"/>
    <sheet name="170" sheetId="191" r:id="rId154"/>
    <sheet name="171" sheetId="192" r:id="rId155"/>
    <sheet name="172" sheetId="193" r:id="rId156"/>
    <sheet name="173" sheetId="194" r:id="rId157"/>
    <sheet name="174" sheetId="195" r:id="rId158"/>
    <sheet name="175" sheetId="196" r:id="rId159"/>
    <sheet name="176" sheetId="197" r:id="rId160"/>
    <sheet name="177" sheetId="198" r:id="rId161"/>
    <sheet name="178" sheetId="199" r:id="rId162"/>
    <sheet name="179" sheetId="200" r:id="rId163"/>
    <sheet name="180" sheetId="201" r:id="rId164"/>
    <sheet name="181" sheetId="202" r:id="rId165"/>
    <sheet name="182" sheetId="203" r:id="rId166"/>
    <sheet name="183" sheetId="204" r:id="rId167"/>
    <sheet name="184" sheetId="205" r:id="rId168"/>
    <sheet name="185" sheetId="206" r:id="rId169"/>
    <sheet name="186" sheetId="207" r:id="rId170"/>
    <sheet name="187" sheetId="208" r:id="rId171"/>
    <sheet name="188" sheetId="210" r:id="rId172"/>
    <sheet name="189" sheetId="211" r:id="rId173"/>
    <sheet name="190" sheetId="212" r:id="rId174"/>
    <sheet name="191" sheetId="213" r:id="rId175"/>
    <sheet name="192" sheetId="214" r:id="rId176"/>
    <sheet name="193" sheetId="215" r:id="rId177"/>
    <sheet name="194" sheetId="216" r:id="rId178"/>
    <sheet name="195" sheetId="217" r:id="rId179"/>
    <sheet name="K alle Methoden" sheetId="156" r:id="rId180"/>
  </sheets>
  <externalReferences>
    <externalReference r:id="rId181"/>
  </externalReferences>
  <calcPr calcId="162913"/>
</workbook>
</file>

<file path=xl/calcChain.xml><?xml version="1.0" encoding="utf-8"?>
<calcChain xmlns="http://schemas.openxmlformats.org/spreadsheetml/2006/main">
  <c r="W31" i="217" l="1"/>
  <c r="W30" i="217"/>
  <c r="W27" i="217"/>
  <c r="W24" i="217"/>
  <c r="W22" i="217"/>
  <c r="W32" i="217" s="1"/>
  <c r="W31" i="216"/>
  <c r="W30" i="216"/>
  <c r="W27" i="216"/>
  <c r="W24" i="216"/>
  <c r="W22" i="216"/>
  <c r="W32" i="216" s="1"/>
  <c r="W31" i="215"/>
  <c r="W30" i="215"/>
  <c r="W27" i="215"/>
  <c r="W24" i="215"/>
  <c r="W22" i="215"/>
  <c r="W32" i="215" s="1"/>
  <c r="W31" i="214"/>
  <c r="W30" i="214"/>
  <c r="W27" i="214"/>
  <c r="W24" i="214"/>
  <c r="W22" i="214"/>
  <c r="W32" i="214" s="1"/>
  <c r="W31" i="213"/>
  <c r="W30" i="213"/>
  <c r="W27" i="213"/>
  <c r="W24" i="213"/>
  <c r="W22" i="213"/>
  <c r="W32" i="213" s="1"/>
  <c r="W31" i="212"/>
  <c r="W30" i="212"/>
  <c r="W27" i="212"/>
  <c r="W24" i="212"/>
  <c r="W22" i="212"/>
  <c r="W32" i="212" s="1"/>
  <c r="W31" i="211"/>
  <c r="W30" i="211"/>
  <c r="W27" i="211"/>
  <c r="W24" i="211"/>
  <c r="W22" i="211"/>
  <c r="W32" i="211" s="1"/>
  <c r="W31" i="210"/>
  <c r="W30" i="210"/>
  <c r="W27" i="210"/>
  <c r="W24" i="210"/>
  <c r="W22" i="210"/>
  <c r="W32" i="210" s="1"/>
  <c r="I4" i="217"/>
  <c r="M4" i="217"/>
  <c r="V4" i="217"/>
  <c r="W4" i="217"/>
  <c r="I5" i="217"/>
  <c r="M5" i="217"/>
  <c r="V5" i="217"/>
  <c r="W5" i="217"/>
  <c r="AE5" i="217"/>
  <c r="I6" i="217"/>
  <c r="M6" i="217"/>
  <c r="V6" i="217"/>
  <c r="W6" i="217"/>
  <c r="I7" i="217"/>
  <c r="M7" i="217"/>
  <c r="V7" i="217"/>
  <c r="W7" i="217"/>
  <c r="I8" i="217"/>
  <c r="M8" i="217"/>
  <c r="V8" i="217"/>
  <c r="W8" i="217"/>
  <c r="I9" i="217"/>
  <c r="M9" i="217"/>
  <c r="V9" i="217"/>
  <c r="W9" i="217"/>
  <c r="I10" i="217"/>
  <c r="M10" i="217"/>
  <c r="V10" i="217"/>
  <c r="W10" i="217"/>
  <c r="E11" i="217"/>
  <c r="I11" i="217"/>
  <c r="M11" i="217"/>
  <c r="V11" i="217"/>
  <c r="W11" i="217"/>
  <c r="E12" i="217"/>
  <c r="E26" i="217" s="1"/>
  <c r="F14" i="217" s="1"/>
  <c r="I12" i="217"/>
  <c r="M12" i="217"/>
  <c r="V12" i="217"/>
  <c r="W12" i="217"/>
  <c r="E13" i="217"/>
  <c r="E14" i="217"/>
  <c r="E15" i="217"/>
  <c r="E16" i="217"/>
  <c r="E17" i="217"/>
  <c r="E18" i="217"/>
  <c r="E19" i="217"/>
  <c r="E20" i="217"/>
  <c r="E21" i="217"/>
  <c r="E22" i="217"/>
  <c r="E23" i="217"/>
  <c r="E24" i="217"/>
  <c r="E25" i="217"/>
  <c r="C27" i="217"/>
  <c r="G33" i="217"/>
  <c r="N4" i="217" s="1"/>
  <c r="F36" i="217"/>
  <c r="F25" i="217" l="1"/>
  <c r="F17" i="217"/>
  <c r="F16" i="217"/>
  <c r="N8" i="217"/>
  <c r="U8" i="217" s="1"/>
  <c r="X8" i="217" s="1"/>
  <c r="Y8" i="217" s="1"/>
  <c r="Z8" i="217" s="1"/>
  <c r="Q8" i="217" s="1"/>
  <c r="F23" i="217"/>
  <c r="F19" i="217"/>
  <c r="F15" i="217"/>
  <c r="F11" i="217"/>
  <c r="N5" i="217"/>
  <c r="F21" i="217"/>
  <c r="F13" i="217"/>
  <c r="N10" i="217"/>
  <c r="P10" i="217" s="1"/>
  <c r="R10" i="217" s="1"/>
  <c r="N6" i="217"/>
  <c r="X27" i="217"/>
  <c r="W33" i="217"/>
  <c r="X27" i="216"/>
  <c r="W33" i="216"/>
  <c r="X27" i="215"/>
  <c r="W33" i="215"/>
  <c r="X27" i="214"/>
  <c r="W33" i="214"/>
  <c r="X27" i="213"/>
  <c r="W33" i="213"/>
  <c r="X27" i="212"/>
  <c r="W33" i="212"/>
  <c r="X27" i="211"/>
  <c r="W33" i="211"/>
  <c r="X27" i="210"/>
  <c r="W33" i="210"/>
  <c r="P5" i="217"/>
  <c r="U5" i="217"/>
  <c r="X5" i="217" s="1"/>
  <c r="Y5" i="217" s="1"/>
  <c r="Z5" i="217" s="1"/>
  <c r="P4" i="217"/>
  <c r="U4" i="217"/>
  <c r="X4" i="217" s="1"/>
  <c r="Y4" i="217" s="1"/>
  <c r="Z4" i="217" s="1"/>
  <c r="Q4" i="217" s="1"/>
  <c r="P8" i="217"/>
  <c r="R8" i="217" s="1"/>
  <c r="P6" i="217"/>
  <c r="U6" i="217"/>
  <c r="X6" i="217" s="1"/>
  <c r="Y6" i="217" s="1"/>
  <c r="Z6" i="217" s="1"/>
  <c r="R4" i="217"/>
  <c r="Q6" i="217"/>
  <c r="Q5" i="217"/>
  <c r="N12" i="217"/>
  <c r="F12" i="217"/>
  <c r="N11" i="217"/>
  <c r="N9" i="217"/>
  <c r="N7" i="217"/>
  <c r="R6" i="217"/>
  <c r="R5" i="217"/>
  <c r="E27" i="217"/>
  <c r="F27" i="217" s="1"/>
  <c r="F24" i="217"/>
  <c r="F22" i="217"/>
  <c r="F20" i="217"/>
  <c r="F18" i="217"/>
  <c r="I4" i="216"/>
  <c r="M4" i="216"/>
  <c r="V4" i="216"/>
  <c r="W4" i="216"/>
  <c r="I5" i="216"/>
  <c r="M5" i="216"/>
  <c r="N5" i="216" s="1"/>
  <c r="V5" i="216"/>
  <c r="W5" i="216"/>
  <c r="AE5" i="216"/>
  <c r="I6" i="216"/>
  <c r="M6" i="216"/>
  <c r="V6" i="216"/>
  <c r="W6" i="216"/>
  <c r="I7" i="216"/>
  <c r="M7" i="216"/>
  <c r="V7" i="216"/>
  <c r="W7" i="216"/>
  <c r="I8" i="216"/>
  <c r="M8" i="216"/>
  <c r="V8" i="216"/>
  <c r="W8" i="216"/>
  <c r="I9" i="216"/>
  <c r="M9" i="216"/>
  <c r="V9" i="216"/>
  <c r="W9" i="216"/>
  <c r="I10" i="216"/>
  <c r="M10" i="216"/>
  <c r="V10" i="216"/>
  <c r="W10" i="216"/>
  <c r="E11" i="216"/>
  <c r="I11" i="216"/>
  <c r="M11" i="216"/>
  <c r="V11" i="216"/>
  <c r="W11" i="216"/>
  <c r="E12" i="216"/>
  <c r="I12" i="216"/>
  <c r="M12" i="216"/>
  <c r="V12" i="216"/>
  <c r="W12" i="216"/>
  <c r="E13" i="216"/>
  <c r="E14" i="216"/>
  <c r="E15" i="216"/>
  <c r="E26" i="216" s="1"/>
  <c r="E27" i="216" s="1"/>
  <c r="F27" i="216" s="1"/>
  <c r="E16" i="216"/>
  <c r="E17" i="216"/>
  <c r="E18" i="216"/>
  <c r="E19" i="216"/>
  <c r="E20" i="216"/>
  <c r="E21" i="216"/>
  <c r="E22" i="216"/>
  <c r="E23" i="216"/>
  <c r="E24" i="216"/>
  <c r="E25" i="216"/>
  <c r="C27" i="216"/>
  <c r="G33" i="216"/>
  <c r="F36" i="216"/>
  <c r="F22" i="216" l="1"/>
  <c r="F18" i="216"/>
  <c r="F14" i="216"/>
  <c r="U10" i="217"/>
  <c r="X10" i="217" s="1"/>
  <c r="Y10" i="217" s="1"/>
  <c r="Z10" i="217" s="1"/>
  <c r="Q10" i="217" s="1"/>
  <c r="F11" i="216"/>
  <c r="N4" i="216"/>
  <c r="F24" i="216"/>
  <c r="F20" i="216"/>
  <c r="F16" i="216"/>
  <c r="N10" i="216"/>
  <c r="N8" i="216"/>
  <c r="N6" i="216"/>
  <c r="P6" i="216" s="1"/>
  <c r="R6" i="216" s="1"/>
  <c r="P9" i="217"/>
  <c r="R9" i="217" s="1"/>
  <c r="U9" i="217"/>
  <c r="X9" i="217" s="1"/>
  <c r="Y9" i="217" s="1"/>
  <c r="Z9" i="217" s="1"/>
  <c r="Q9" i="217" s="1"/>
  <c r="P11" i="217"/>
  <c r="R11" i="217" s="1"/>
  <c r="U11" i="217"/>
  <c r="X11" i="217" s="1"/>
  <c r="Y11" i="217" s="1"/>
  <c r="Z11" i="217" s="1"/>
  <c r="Q11" i="217" s="1"/>
  <c r="P12" i="217"/>
  <c r="R12" i="217" s="1"/>
  <c r="U12" i="217"/>
  <c r="X12" i="217" s="1"/>
  <c r="Y12" i="217" s="1"/>
  <c r="Z12" i="217" s="1"/>
  <c r="Q12" i="217" s="1"/>
  <c r="G12" i="217"/>
  <c r="G13" i="217" s="1"/>
  <c r="G14" i="217" s="1"/>
  <c r="G15" i="217" s="1"/>
  <c r="G16" i="217" s="1"/>
  <c r="G17" i="217" s="1"/>
  <c r="G18" i="217" s="1"/>
  <c r="G19" i="217" s="1"/>
  <c r="G20" i="217" s="1"/>
  <c r="G21" i="217" s="1"/>
  <c r="G22" i="217" s="1"/>
  <c r="G23" i="217" s="1"/>
  <c r="G24" i="217" s="1"/>
  <c r="F26" i="217"/>
  <c r="P7" i="217"/>
  <c r="R7" i="217" s="1"/>
  <c r="U7" i="217"/>
  <c r="X7" i="217" s="1"/>
  <c r="Y7" i="217" s="1"/>
  <c r="Z7" i="217" s="1"/>
  <c r="Q7" i="217" s="1"/>
  <c r="P5" i="216"/>
  <c r="U5" i="216"/>
  <c r="X5" i="216" s="1"/>
  <c r="Y5" i="216" s="1"/>
  <c r="Z5" i="216" s="1"/>
  <c r="Q5" i="216" s="1"/>
  <c r="P4" i="216"/>
  <c r="U4" i="216"/>
  <c r="X4" i="216" s="1"/>
  <c r="Y4" i="216" s="1"/>
  <c r="Z4" i="216" s="1"/>
  <c r="Q4" i="216" s="1"/>
  <c r="P10" i="216"/>
  <c r="U10" i="216"/>
  <c r="X10" i="216" s="1"/>
  <c r="Y10" i="216" s="1"/>
  <c r="Z10" i="216" s="1"/>
  <c r="Q10" i="216" s="1"/>
  <c r="P8" i="216"/>
  <c r="U8" i="216"/>
  <c r="X8" i="216" s="1"/>
  <c r="Y8" i="216" s="1"/>
  <c r="Z8" i="216" s="1"/>
  <c r="Q8" i="216" s="1"/>
  <c r="U6" i="216"/>
  <c r="X6" i="216" s="1"/>
  <c r="Y6" i="216" s="1"/>
  <c r="Z6" i="216" s="1"/>
  <c r="Q6" i="216" s="1"/>
  <c r="R4" i="216"/>
  <c r="F23" i="216"/>
  <c r="F21" i="216"/>
  <c r="F19" i="216"/>
  <c r="F17" i="216"/>
  <c r="F15" i="216"/>
  <c r="F13" i="216"/>
  <c r="N12" i="216"/>
  <c r="F12" i="216"/>
  <c r="N11" i="216"/>
  <c r="R10" i="216"/>
  <c r="N9" i="216"/>
  <c r="R8" i="216"/>
  <c r="N7" i="216"/>
  <c r="R5" i="216"/>
  <c r="F25" i="216"/>
  <c r="I4" i="215"/>
  <c r="M4" i="215"/>
  <c r="V4" i="215"/>
  <c r="W4" i="215"/>
  <c r="I5" i="215"/>
  <c r="M5" i="215"/>
  <c r="V5" i="215"/>
  <c r="W5" i="215"/>
  <c r="AE5" i="215"/>
  <c r="I6" i="215"/>
  <c r="M6" i="215"/>
  <c r="V6" i="215"/>
  <c r="W6" i="215"/>
  <c r="I7" i="215"/>
  <c r="M7" i="215"/>
  <c r="V7" i="215"/>
  <c r="W7" i="215"/>
  <c r="I8" i="215"/>
  <c r="M8" i="215"/>
  <c r="V8" i="215"/>
  <c r="W8" i="215"/>
  <c r="I9" i="215"/>
  <c r="M9" i="215"/>
  <c r="V9" i="215"/>
  <c r="W9" i="215"/>
  <c r="I10" i="215"/>
  <c r="M10" i="215"/>
  <c r="V10" i="215"/>
  <c r="W10" i="215"/>
  <c r="E11" i="215"/>
  <c r="I11" i="215"/>
  <c r="M11" i="215"/>
  <c r="V11" i="215"/>
  <c r="W11" i="215"/>
  <c r="E12" i="215"/>
  <c r="E26" i="215" s="1"/>
  <c r="E27" i="215" s="1"/>
  <c r="F27" i="215" s="1"/>
  <c r="I12" i="215"/>
  <c r="M12" i="215"/>
  <c r="V12" i="215"/>
  <c r="W12" i="215"/>
  <c r="E13" i="215"/>
  <c r="E14" i="215"/>
  <c r="E15" i="215"/>
  <c r="E16" i="215"/>
  <c r="E17" i="215"/>
  <c r="E18" i="215"/>
  <c r="E19" i="215"/>
  <c r="E20" i="215"/>
  <c r="E21" i="215"/>
  <c r="E22" i="215"/>
  <c r="E23" i="215"/>
  <c r="E24" i="215"/>
  <c r="E25" i="215"/>
  <c r="C27" i="215"/>
  <c r="G33" i="215"/>
  <c r="N4" i="215" s="1"/>
  <c r="F36" i="215"/>
  <c r="F24" i="215" l="1"/>
  <c r="N8" i="215"/>
  <c r="F11" i="215"/>
  <c r="N5" i="215"/>
  <c r="P5" i="215" s="1"/>
  <c r="R5" i="215" s="1"/>
  <c r="F16" i="215"/>
  <c r="F22" i="215"/>
  <c r="F14" i="215"/>
  <c r="F20" i="215"/>
  <c r="N10" i="215"/>
  <c r="N6" i="215"/>
  <c r="F18" i="215"/>
  <c r="S5" i="217"/>
  <c r="S6" i="217"/>
  <c r="S8" i="217"/>
  <c r="S10" i="217"/>
  <c r="G25" i="217"/>
  <c r="S4" i="217"/>
  <c r="S7" i="217"/>
  <c r="S9" i="217"/>
  <c r="S11" i="217"/>
  <c r="S12" i="217"/>
  <c r="F31" i="217"/>
  <c r="P7" i="216"/>
  <c r="R7" i="216" s="1"/>
  <c r="U7" i="216"/>
  <c r="X7" i="216" s="1"/>
  <c r="Y7" i="216" s="1"/>
  <c r="Z7" i="216" s="1"/>
  <c r="Q7" i="216" s="1"/>
  <c r="P9" i="216"/>
  <c r="R9" i="216" s="1"/>
  <c r="U9" i="216"/>
  <c r="X9" i="216" s="1"/>
  <c r="Y9" i="216" s="1"/>
  <c r="Z9" i="216" s="1"/>
  <c r="Q9" i="216" s="1"/>
  <c r="P11" i="216"/>
  <c r="R11" i="216" s="1"/>
  <c r="U11" i="216"/>
  <c r="X11" i="216" s="1"/>
  <c r="Y11" i="216" s="1"/>
  <c r="Z11" i="216" s="1"/>
  <c r="Q11" i="216" s="1"/>
  <c r="P12" i="216"/>
  <c r="R12" i="216" s="1"/>
  <c r="U12" i="216"/>
  <c r="X12" i="216" s="1"/>
  <c r="Y12" i="216" s="1"/>
  <c r="Z12" i="216" s="1"/>
  <c r="Q12" i="216" s="1"/>
  <c r="G12" i="216"/>
  <c r="G13" i="216" s="1"/>
  <c r="G14" i="216" s="1"/>
  <c r="G15" i="216" s="1"/>
  <c r="G16" i="216" s="1"/>
  <c r="G17" i="216" s="1"/>
  <c r="G18" i="216" s="1"/>
  <c r="G19" i="216" s="1"/>
  <c r="G20" i="216" s="1"/>
  <c r="G21" i="216" s="1"/>
  <c r="G22" i="216" s="1"/>
  <c r="G23" i="216" s="1"/>
  <c r="G24" i="216" s="1"/>
  <c r="F26" i="216"/>
  <c r="P4" i="215"/>
  <c r="U4" i="215"/>
  <c r="X4" i="215" s="1"/>
  <c r="Y4" i="215" s="1"/>
  <c r="Z4" i="215" s="1"/>
  <c r="Q4" i="215" s="1"/>
  <c r="P10" i="215"/>
  <c r="U10" i="215"/>
  <c r="X10" i="215" s="1"/>
  <c r="Y10" i="215" s="1"/>
  <c r="Z10" i="215" s="1"/>
  <c r="P8" i="215"/>
  <c r="U8" i="215"/>
  <c r="X8" i="215" s="1"/>
  <c r="Y8" i="215" s="1"/>
  <c r="Z8" i="215" s="1"/>
  <c r="Q8" i="215" s="1"/>
  <c r="P6" i="215"/>
  <c r="U6" i="215"/>
  <c r="X6" i="215" s="1"/>
  <c r="Y6" i="215" s="1"/>
  <c r="Z6" i="215" s="1"/>
  <c r="R4" i="215"/>
  <c r="Q10" i="215"/>
  <c r="Q6" i="215"/>
  <c r="F25" i="215"/>
  <c r="F19" i="215"/>
  <c r="F17" i="215"/>
  <c r="F15" i="215"/>
  <c r="F13" i="215"/>
  <c r="N12" i="215"/>
  <c r="F12" i="215"/>
  <c r="N11" i="215"/>
  <c r="R10" i="215"/>
  <c r="N9" i="215"/>
  <c r="R8" i="215"/>
  <c r="N7" i="215"/>
  <c r="R6" i="215"/>
  <c r="F23" i="215"/>
  <c r="F21" i="215"/>
  <c r="I4" i="214"/>
  <c r="M4" i="214"/>
  <c r="V4" i="214"/>
  <c r="W4" i="214"/>
  <c r="I5" i="214"/>
  <c r="M5" i="214"/>
  <c r="V5" i="214"/>
  <c r="W5" i="214"/>
  <c r="AE5" i="214"/>
  <c r="I6" i="214"/>
  <c r="M6" i="214"/>
  <c r="V6" i="214"/>
  <c r="W6" i="214"/>
  <c r="I7" i="214"/>
  <c r="M7" i="214"/>
  <c r="V7" i="214"/>
  <c r="W7" i="214"/>
  <c r="I8" i="214"/>
  <c r="M8" i="214"/>
  <c r="V8" i="214"/>
  <c r="W8" i="214"/>
  <c r="I9" i="214"/>
  <c r="M9" i="214"/>
  <c r="V9" i="214"/>
  <c r="W9" i="214"/>
  <c r="I10" i="214"/>
  <c r="M10" i="214"/>
  <c r="V10" i="214"/>
  <c r="W10" i="214"/>
  <c r="E11" i="214"/>
  <c r="I11" i="214"/>
  <c r="M11" i="214"/>
  <c r="V11" i="214"/>
  <c r="W11" i="214"/>
  <c r="E12" i="214"/>
  <c r="I12" i="214"/>
  <c r="M12" i="214"/>
  <c r="V12" i="214"/>
  <c r="W12" i="214"/>
  <c r="E13" i="214"/>
  <c r="E14" i="214"/>
  <c r="E15" i="214"/>
  <c r="E16" i="214"/>
  <c r="E17" i="214"/>
  <c r="E18" i="214"/>
  <c r="E19" i="214"/>
  <c r="E20" i="214"/>
  <c r="E21" i="214"/>
  <c r="E22" i="214"/>
  <c r="E23" i="214"/>
  <c r="E24" i="214"/>
  <c r="E25" i="214"/>
  <c r="E26" i="214"/>
  <c r="E27" i="214" s="1"/>
  <c r="F27" i="214" s="1"/>
  <c r="C27" i="214"/>
  <c r="G33" i="214"/>
  <c r="N4" i="214" s="1"/>
  <c r="F36" i="214"/>
  <c r="F14" i="214" l="1"/>
  <c r="F22" i="214"/>
  <c r="F20" i="214"/>
  <c r="N8" i="214"/>
  <c r="U8" i="214" s="1"/>
  <c r="X8" i="214" s="1"/>
  <c r="Y8" i="214" s="1"/>
  <c r="Z8" i="214" s="1"/>
  <c r="Q8" i="214" s="1"/>
  <c r="N6" i="214"/>
  <c r="U5" i="215"/>
  <c r="X5" i="215" s="1"/>
  <c r="Y5" i="215" s="1"/>
  <c r="Z5" i="215" s="1"/>
  <c r="Q5" i="215" s="1"/>
  <c r="F18" i="214"/>
  <c r="F24" i="214"/>
  <c r="F16" i="214"/>
  <c r="N10" i="214"/>
  <c r="F11" i="214"/>
  <c r="N5" i="214"/>
  <c r="P5" i="214" s="1"/>
  <c r="R5" i="214" s="1"/>
  <c r="S5" i="216"/>
  <c r="S6" i="216"/>
  <c r="S8" i="216"/>
  <c r="S10" i="216"/>
  <c r="G25" i="216"/>
  <c r="S4" i="216"/>
  <c r="S7" i="216"/>
  <c r="S9" i="216"/>
  <c r="S11" i="216"/>
  <c r="S12" i="216"/>
  <c r="F31" i="216"/>
  <c r="G12" i="215"/>
  <c r="G13" i="215" s="1"/>
  <c r="G14" i="215" s="1"/>
  <c r="G15" i="215" s="1"/>
  <c r="G16" i="215" s="1"/>
  <c r="G17" i="215" s="1"/>
  <c r="G18" i="215" s="1"/>
  <c r="G19" i="215" s="1"/>
  <c r="G20" i="215" s="1"/>
  <c r="G21" i="215" s="1"/>
  <c r="G22" i="215" s="1"/>
  <c r="G23" i="215" s="1"/>
  <c r="G24" i="215" s="1"/>
  <c r="F26" i="215"/>
  <c r="P7" i="215"/>
  <c r="R7" i="215" s="1"/>
  <c r="U7" i="215"/>
  <c r="X7" i="215" s="1"/>
  <c r="Y7" i="215" s="1"/>
  <c r="Z7" i="215" s="1"/>
  <c r="Q7" i="215" s="1"/>
  <c r="P9" i="215"/>
  <c r="R9" i="215" s="1"/>
  <c r="U9" i="215"/>
  <c r="X9" i="215" s="1"/>
  <c r="Y9" i="215" s="1"/>
  <c r="Z9" i="215" s="1"/>
  <c r="Q9" i="215" s="1"/>
  <c r="P11" i="215"/>
  <c r="R11" i="215" s="1"/>
  <c r="U11" i="215"/>
  <c r="X11" i="215" s="1"/>
  <c r="Y11" i="215" s="1"/>
  <c r="Z11" i="215" s="1"/>
  <c r="Q11" i="215" s="1"/>
  <c r="P12" i="215"/>
  <c r="R12" i="215" s="1"/>
  <c r="U12" i="215"/>
  <c r="X12" i="215" s="1"/>
  <c r="Y12" i="215" s="1"/>
  <c r="Z12" i="215" s="1"/>
  <c r="Q12" i="215" s="1"/>
  <c r="P4" i="214"/>
  <c r="U4" i="214"/>
  <c r="X4" i="214" s="1"/>
  <c r="Y4" i="214" s="1"/>
  <c r="Z4" i="214" s="1"/>
  <c r="Q4" i="214" s="1"/>
  <c r="P10" i="214"/>
  <c r="U10" i="214"/>
  <c r="X10" i="214" s="1"/>
  <c r="Y10" i="214" s="1"/>
  <c r="Z10" i="214" s="1"/>
  <c r="P8" i="214"/>
  <c r="R8" i="214" s="1"/>
  <c r="P6" i="214"/>
  <c r="U6" i="214"/>
  <c r="X6" i="214" s="1"/>
  <c r="Y6" i="214" s="1"/>
  <c r="Z6" i="214" s="1"/>
  <c r="R4" i="214"/>
  <c r="Q10" i="214"/>
  <c r="Q6" i="214"/>
  <c r="F21" i="214"/>
  <c r="F17" i="214"/>
  <c r="F15" i="214"/>
  <c r="F13" i="214"/>
  <c r="N12" i="214"/>
  <c r="F12" i="214"/>
  <c r="N11" i="214"/>
  <c r="R10" i="214"/>
  <c r="N9" i="214"/>
  <c r="N7" i="214"/>
  <c r="R6" i="214"/>
  <c r="F25" i="214"/>
  <c r="F23" i="214"/>
  <c r="F19" i="214"/>
  <c r="I4" i="213"/>
  <c r="M4" i="213"/>
  <c r="V4" i="213"/>
  <c r="W4" i="213"/>
  <c r="I5" i="213"/>
  <c r="M5" i="213"/>
  <c r="V5" i="213"/>
  <c r="W5" i="213"/>
  <c r="AE5" i="213"/>
  <c r="I6" i="213"/>
  <c r="M6" i="213"/>
  <c r="V6" i="213"/>
  <c r="W6" i="213"/>
  <c r="I7" i="213"/>
  <c r="M7" i="213"/>
  <c r="V7" i="213"/>
  <c r="W7" i="213"/>
  <c r="I8" i="213"/>
  <c r="M8" i="213"/>
  <c r="V8" i="213"/>
  <c r="W8" i="213"/>
  <c r="I9" i="213"/>
  <c r="M9" i="213"/>
  <c r="V9" i="213"/>
  <c r="W9" i="213"/>
  <c r="I10" i="213"/>
  <c r="M10" i="213"/>
  <c r="V10" i="213"/>
  <c r="W10" i="213"/>
  <c r="E11" i="213"/>
  <c r="I11" i="213"/>
  <c r="M11" i="213"/>
  <c r="V11" i="213"/>
  <c r="W11" i="213"/>
  <c r="E12" i="213"/>
  <c r="I12" i="213"/>
  <c r="M12" i="213"/>
  <c r="V12" i="213"/>
  <c r="W12" i="213"/>
  <c r="E13" i="213"/>
  <c r="E26" i="213" s="1"/>
  <c r="E27" i="213" s="1"/>
  <c r="F27" i="213" s="1"/>
  <c r="E14" i="213"/>
  <c r="E15" i="213"/>
  <c r="E16" i="213"/>
  <c r="E17" i="213"/>
  <c r="E18" i="213"/>
  <c r="E19" i="213"/>
  <c r="E20" i="213"/>
  <c r="E21" i="213"/>
  <c r="E22" i="213"/>
  <c r="E23" i="213"/>
  <c r="E24" i="213"/>
  <c r="E25" i="213"/>
  <c r="C27" i="213"/>
  <c r="G33" i="213"/>
  <c r="N4" i="213" s="1"/>
  <c r="F36" i="213"/>
  <c r="F24" i="213" l="1"/>
  <c r="N10" i="213"/>
  <c r="N8" i="213"/>
  <c r="N6" i="213"/>
  <c r="U6" i="213" s="1"/>
  <c r="X6" i="213" s="1"/>
  <c r="Y6" i="213" s="1"/>
  <c r="Z6" i="213" s="1"/>
  <c r="Q6" i="213" s="1"/>
  <c r="U5" i="214"/>
  <c r="X5" i="214" s="1"/>
  <c r="Y5" i="214" s="1"/>
  <c r="Z5" i="214" s="1"/>
  <c r="Q5" i="214" s="1"/>
  <c r="F20" i="213"/>
  <c r="F16" i="213"/>
  <c r="F11" i="213"/>
  <c r="N5" i="213"/>
  <c r="F22" i="213"/>
  <c r="F18" i="213"/>
  <c r="F14" i="213"/>
  <c r="S5" i="215"/>
  <c r="S6" i="215"/>
  <c r="S8" i="215"/>
  <c r="S10" i="215"/>
  <c r="G25" i="215"/>
  <c r="S4" i="215"/>
  <c r="S7" i="215"/>
  <c r="S9" i="215"/>
  <c r="S11" i="215"/>
  <c r="S12" i="215"/>
  <c r="F31" i="215"/>
  <c r="P7" i="214"/>
  <c r="R7" i="214" s="1"/>
  <c r="U7" i="214"/>
  <c r="X7" i="214" s="1"/>
  <c r="Y7" i="214" s="1"/>
  <c r="Z7" i="214" s="1"/>
  <c r="Q7" i="214" s="1"/>
  <c r="P9" i="214"/>
  <c r="R9" i="214" s="1"/>
  <c r="U9" i="214"/>
  <c r="X9" i="214" s="1"/>
  <c r="Y9" i="214" s="1"/>
  <c r="Z9" i="214" s="1"/>
  <c r="Q9" i="214" s="1"/>
  <c r="P11" i="214"/>
  <c r="R11" i="214" s="1"/>
  <c r="U11" i="214"/>
  <c r="X11" i="214" s="1"/>
  <c r="Y11" i="214" s="1"/>
  <c r="Z11" i="214" s="1"/>
  <c r="Q11" i="214" s="1"/>
  <c r="P12" i="214"/>
  <c r="R12" i="214" s="1"/>
  <c r="U12" i="214"/>
  <c r="X12" i="214" s="1"/>
  <c r="Y12" i="214" s="1"/>
  <c r="Z12" i="214" s="1"/>
  <c r="Q12" i="214" s="1"/>
  <c r="G12" i="214"/>
  <c r="G13" i="214" s="1"/>
  <c r="G14" i="214" s="1"/>
  <c r="G15" i="214" s="1"/>
  <c r="G16" i="214" s="1"/>
  <c r="G17" i="214" s="1"/>
  <c r="G18" i="214" s="1"/>
  <c r="G19" i="214" s="1"/>
  <c r="G20" i="214" s="1"/>
  <c r="G21" i="214" s="1"/>
  <c r="G22" i="214" s="1"/>
  <c r="G23" i="214" s="1"/>
  <c r="G24" i="214" s="1"/>
  <c r="F26" i="214"/>
  <c r="P4" i="213"/>
  <c r="U4" i="213"/>
  <c r="X4" i="213" s="1"/>
  <c r="Y4" i="213" s="1"/>
  <c r="Z4" i="213" s="1"/>
  <c r="Q4" i="213" s="1"/>
  <c r="P8" i="213"/>
  <c r="R8" i="213" s="1"/>
  <c r="U8" i="213"/>
  <c r="X8" i="213" s="1"/>
  <c r="Y8" i="213" s="1"/>
  <c r="Z8" i="213" s="1"/>
  <c r="P10" i="213"/>
  <c r="U10" i="213"/>
  <c r="X10" i="213" s="1"/>
  <c r="Y10" i="213" s="1"/>
  <c r="Z10" i="213" s="1"/>
  <c r="Q10" i="213" s="1"/>
  <c r="P6" i="213"/>
  <c r="R6" i="213" s="1"/>
  <c r="P5" i="213"/>
  <c r="U5" i="213"/>
  <c r="X5" i="213" s="1"/>
  <c r="Y5" i="213" s="1"/>
  <c r="Z5" i="213" s="1"/>
  <c r="Q5" i="213"/>
  <c r="R4" i="213"/>
  <c r="Q8" i="213"/>
  <c r="F21" i="213"/>
  <c r="F19" i="213"/>
  <c r="F17" i="213"/>
  <c r="F15" i="213"/>
  <c r="F13" i="213"/>
  <c r="N12" i="213"/>
  <c r="F12" i="213"/>
  <c r="N11" i="213"/>
  <c r="R10" i="213"/>
  <c r="N9" i="213"/>
  <c r="N7" i="213"/>
  <c r="R5" i="213"/>
  <c r="F25" i="213"/>
  <c r="F23" i="213"/>
  <c r="I4" i="212"/>
  <c r="M4" i="212"/>
  <c r="V4" i="212"/>
  <c r="W4" i="212"/>
  <c r="I5" i="212"/>
  <c r="M5" i="212"/>
  <c r="V5" i="212"/>
  <c r="W5" i="212"/>
  <c r="AE5" i="212"/>
  <c r="I6" i="212"/>
  <c r="M6" i="212"/>
  <c r="V6" i="212"/>
  <c r="W6" i="212"/>
  <c r="I7" i="212"/>
  <c r="M7" i="212"/>
  <c r="V7" i="212"/>
  <c r="W7" i="212"/>
  <c r="I8" i="212"/>
  <c r="M8" i="212"/>
  <c r="V8" i="212"/>
  <c r="W8" i="212"/>
  <c r="I9" i="212"/>
  <c r="M9" i="212"/>
  <c r="V9" i="212"/>
  <c r="W9" i="212"/>
  <c r="I10" i="212"/>
  <c r="M10" i="212"/>
  <c r="V10" i="212"/>
  <c r="W10" i="212"/>
  <c r="E11" i="212"/>
  <c r="I11" i="212"/>
  <c r="M11" i="212"/>
  <c r="V11" i="212"/>
  <c r="W11" i="212"/>
  <c r="E12" i="212"/>
  <c r="I12" i="212"/>
  <c r="M12" i="212"/>
  <c r="V12" i="212"/>
  <c r="W12" i="212"/>
  <c r="E13" i="212"/>
  <c r="E26" i="212" s="1"/>
  <c r="E27" i="212" s="1"/>
  <c r="F27" i="212" s="1"/>
  <c r="E14" i="212"/>
  <c r="E15" i="212"/>
  <c r="E16" i="212"/>
  <c r="E17" i="212"/>
  <c r="E18" i="212"/>
  <c r="E19" i="212"/>
  <c r="E20" i="212"/>
  <c r="E21" i="212"/>
  <c r="E22" i="212"/>
  <c r="E23" i="212"/>
  <c r="E24" i="212"/>
  <c r="E25" i="212"/>
  <c r="C27" i="212"/>
  <c r="G33" i="212"/>
  <c r="N4" i="212" s="1"/>
  <c r="F36" i="212"/>
  <c r="F24" i="212" l="1"/>
  <c r="F16" i="212"/>
  <c r="N6" i="212"/>
  <c r="F20" i="212"/>
  <c r="N10" i="212"/>
  <c r="N8" i="212"/>
  <c r="F11" i="212"/>
  <c r="N5" i="212"/>
  <c r="P5" i="212" s="1"/>
  <c r="R5" i="212" s="1"/>
  <c r="F22" i="212"/>
  <c r="F18" i="212"/>
  <c r="F14" i="212"/>
  <c r="S5" i="214"/>
  <c r="S6" i="214"/>
  <c r="S8" i="214"/>
  <c r="S10" i="214"/>
  <c r="G25" i="214"/>
  <c r="S4" i="214"/>
  <c r="S7" i="214"/>
  <c r="S9" i="214"/>
  <c r="S11" i="214"/>
  <c r="S12" i="214"/>
  <c r="F31" i="214"/>
  <c r="P7" i="213"/>
  <c r="R7" i="213" s="1"/>
  <c r="U7" i="213"/>
  <c r="X7" i="213" s="1"/>
  <c r="Y7" i="213" s="1"/>
  <c r="Z7" i="213" s="1"/>
  <c r="Q7" i="213" s="1"/>
  <c r="P9" i="213"/>
  <c r="R9" i="213" s="1"/>
  <c r="U9" i="213"/>
  <c r="X9" i="213" s="1"/>
  <c r="Y9" i="213" s="1"/>
  <c r="Z9" i="213" s="1"/>
  <c r="Q9" i="213" s="1"/>
  <c r="P11" i="213"/>
  <c r="R11" i="213" s="1"/>
  <c r="U11" i="213"/>
  <c r="X11" i="213" s="1"/>
  <c r="Y11" i="213" s="1"/>
  <c r="Z11" i="213" s="1"/>
  <c r="Q11" i="213" s="1"/>
  <c r="P12" i="213"/>
  <c r="R12" i="213" s="1"/>
  <c r="U12" i="213"/>
  <c r="X12" i="213" s="1"/>
  <c r="Y12" i="213" s="1"/>
  <c r="Z12" i="213" s="1"/>
  <c r="Q12" i="213" s="1"/>
  <c r="G12" i="213"/>
  <c r="G13" i="213" s="1"/>
  <c r="G14" i="213" s="1"/>
  <c r="G15" i="213" s="1"/>
  <c r="G16" i="213" s="1"/>
  <c r="G17" i="213" s="1"/>
  <c r="G18" i="213" s="1"/>
  <c r="G19" i="213" s="1"/>
  <c r="G20" i="213" s="1"/>
  <c r="G21" i="213" s="1"/>
  <c r="G22" i="213" s="1"/>
  <c r="G23" i="213" s="1"/>
  <c r="G24" i="213" s="1"/>
  <c r="F26" i="213"/>
  <c r="P4" i="212"/>
  <c r="U4" i="212"/>
  <c r="X4" i="212" s="1"/>
  <c r="Y4" i="212" s="1"/>
  <c r="Z4" i="212" s="1"/>
  <c r="Q4" i="212" s="1"/>
  <c r="P10" i="212"/>
  <c r="U10" i="212"/>
  <c r="X10" i="212" s="1"/>
  <c r="Y10" i="212" s="1"/>
  <c r="Z10" i="212" s="1"/>
  <c r="P8" i="212"/>
  <c r="U8" i="212"/>
  <c r="X8" i="212" s="1"/>
  <c r="Y8" i="212" s="1"/>
  <c r="Z8" i="212" s="1"/>
  <c r="Q8" i="212" s="1"/>
  <c r="P6" i="212"/>
  <c r="U6" i="212"/>
  <c r="X6" i="212" s="1"/>
  <c r="Y6" i="212" s="1"/>
  <c r="Z6" i="212" s="1"/>
  <c r="R4" i="212"/>
  <c r="Q10" i="212"/>
  <c r="Q6" i="212"/>
  <c r="F25" i="212"/>
  <c r="F23" i="212"/>
  <c r="F21" i="212"/>
  <c r="F19" i="212"/>
  <c r="F17" i="212"/>
  <c r="F15" i="212"/>
  <c r="F13" i="212"/>
  <c r="N12" i="212"/>
  <c r="F12" i="212"/>
  <c r="N11" i="212"/>
  <c r="R10" i="212"/>
  <c r="N9" i="212"/>
  <c r="R8" i="212"/>
  <c r="N7" i="212"/>
  <c r="R6" i="212"/>
  <c r="I4" i="211"/>
  <c r="M4" i="211"/>
  <c r="V4" i="211"/>
  <c r="W4" i="211"/>
  <c r="I5" i="211"/>
  <c r="M5" i="211"/>
  <c r="V5" i="211"/>
  <c r="W5" i="211"/>
  <c r="AE5" i="211"/>
  <c r="I6" i="211"/>
  <c r="M6" i="211"/>
  <c r="V6" i="211"/>
  <c r="W6" i="211"/>
  <c r="I7" i="211"/>
  <c r="M7" i="211"/>
  <c r="V7" i="211"/>
  <c r="W7" i="211"/>
  <c r="I8" i="211"/>
  <c r="M8" i="211"/>
  <c r="V8" i="211"/>
  <c r="W8" i="211"/>
  <c r="I9" i="211"/>
  <c r="M9" i="211"/>
  <c r="V9" i="211"/>
  <c r="W9" i="211"/>
  <c r="I10" i="211"/>
  <c r="M10" i="211"/>
  <c r="V10" i="211"/>
  <c r="W10" i="211"/>
  <c r="E11" i="211"/>
  <c r="I11" i="211"/>
  <c r="M11" i="211"/>
  <c r="V11" i="211"/>
  <c r="W11" i="211"/>
  <c r="E12" i="211"/>
  <c r="I12" i="211"/>
  <c r="M12" i="211"/>
  <c r="V12" i="211"/>
  <c r="W12" i="211"/>
  <c r="E13" i="211"/>
  <c r="E14" i="211"/>
  <c r="E15" i="211"/>
  <c r="E16" i="211"/>
  <c r="E17" i="211"/>
  <c r="E18" i="211"/>
  <c r="E19" i="211"/>
  <c r="E20" i="211"/>
  <c r="E21" i="211"/>
  <c r="E22" i="211"/>
  <c r="E23" i="211"/>
  <c r="E24" i="211"/>
  <c r="E25" i="211"/>
  <c r="E26" i="211"/>
  <c r="F14" i="211" s="1"/>
  <c r="C27" i="211"/>
  <c r="G33" i="211"/>
  <c r="N4" i="211" s="1"/>
  <c r="F36" i="211"/>
  <c r="F25" i="211" l="1"/>
  <c r="F13" i="211"/>
  <c r="F22" i="211"/>
  <c r="F24" i="211"/>
  <c r="F16" i="211"/>
  <c r="N10" i="211"/>
  <c r="N8" i="211"/>
  <c r="N6" i="211"/>
  <c r="P6" i="211" s="1"/>
  <c r="R6" i="211" s="1"/>
  <c r="U5" i="212"/>
  <c r="X5" i="212" s="1"/>
  <c r="Y5" i="212" s="1"/>
  <c r="Z5" i="212" s="1"/>
  <c r="Q5" i="212" s="1"/>
  <c r="F18" i="211"/>
  <c r="F20" i="211"/>
  <c r="F15" i="211"/>
  <c r="F11" i="211"/>
  <c r="N5" i="211"/>
  <c r="S5" i="213"/>
  <c r="S6" i="213"/>
  <c r="S8" i="213"/>
  <c r="S10" i="213"/>
  <c r="G25" i="213"/>
  <c r="S4" i="213"/>
  <c r="S7" i="213"/>
  <c r="S9" i="213"/>
  <c r="S11" i="213"/>
  <c r="S12" i="213"/>
  <c r="F31" i="213"/>
  <c r="P7" i="212"/>
  <c r="R7" i="212" s="1"/>
  <c r="U7" i="212"/>
  <c r="X7" i="212" s="1"/>
  <c r="Y7" i="212" s="1"/>
  <c r="Z7" i="212" s="1"/>
  <c r="Q7" i="212" s="1"/>
  <c r="P9" i="212"/>
  <c r="R9" i="212" s="1"/>
  <c r="U9" i="212"/>
  <c r="X9" i="212" s="1"/>
  <c r="Y9" i="212" s="1"/>
  <c r="Z9" i="212" s="1"/>
  <c r="Q9" i="212" s="1"/>
  <c r="P11" i="212"/>
  <c r="R11" i="212" s="1"/>
  <c r="U11" i="212"/>
  <c r="X11" i="212" s="1"/>
  <c r="Y11" i="212" s="1"/>
  <c r="Z11" i="212" s="1"/>
  <c r="Q11" i="212" s="1"/>
  <c r="P12" i="212"/>
  <c r="R12" i="212" s="1"/>
  <c r="U12" i="212"/>
  <c r="X12" i="212" s="1"/>
  <c r="Y12" i="212" s="1"/>
  <c r="Z12" i="212" s="1"/>
  <c r="Q12" i="212" s="1"/>
  <c r="G12" i="212"/>
  <c r="G13" i="212" s="1"/>
  <c r="G14" i="212" s="1"/>
  <c r="G15" i="212" s="1"/>
  <c r="G16" i="212" s="1"/>
  <c r="G17" i="212" s="1"/>
  <c r="G18" i="212" s="1"/>
  <c r="G19" i="212" s="1"/>
  <c r="G20" i="212" s="1"/>
  <c r="G21" i="212" s="1"/>
  <c r="G22" i="212" s="1"/>
  <c r="G23" i="212" s="1"/>
  <c r="G24" i="212" s="1"/>
  <c r="F26" i="212"/>
  <c r="P4" i="211"/>
  <c r="U4" i="211"/>
  <c r="X4" i="211" s="1"/>
  <c r="Y4" i="211" s="1"/>
  <c r="Z4" i="211" s="1"/>
  <c r="P10" i="211"/>
  <c r="U10" i="211"/>
  <c r="X10" i="211" s="1"/>
  <c r="Y10" i="211" s="1"/>
  <c r="Z10" i="211" s="1"/>
  <c r="Q10" i="211" s="1"/>
  <c r="P8" i="211"/>
  <c r="R8" i="211" s="1"/>
  <c r="U8" i="211"/>
  <c r="X8" i="211" s="1"/>
  <c r="Y8" i="211" s="1"/>
  <c r="Z8" i="211" s="1"/>
  <c r="Q8" i="211" s="1"/>
  <c r="R4" i="211"/>
  <c r="Q4" i="211"/>
  <c r="P5" i="211"/>
  <c r="U5" i="211"/>
  <c r="X5" i="211" s="1"/>
  <c r="Y5" i="211" s="1"/>
  <c r="Z5" i="211" s="1"/>
  <c r="Q5" i="211" s="1"/>
  <c r="F23" i="211"/>
  <c r="F21" i="211"/>
  <c r="F19" i="211"/>
  <c r="F17" i="211"/>
  <c r="N12" i="211"/>
  <c r="F12" i="211"/>
  <c r="N11" i="211"/>
  <c r="R10" i="211"/>
  <c r="N9" i="211"/>
  <c r="N7" i="211"/>
  <c r="R5" i="211"/>
  <c r="E27" i="211"/>
  <c r="F27" i="211" s="1"/>
  <c r="I4" i="210"/>
  <c r="M4" i="210"/>
  <c r="V4" i="210"/>
  <c r="W4" i="210"/>
  <c r="I5" i="210"/>
  <c r="M5" i="210"/>
  <c r="V5" i="210"/>
  <c r="W5" i="210"/>
  <c r="AE5" i="210"/>
  <c r="I6" i="210"/>
  <c r="M6" i="210"/>
  <c r="V6" i="210"/>
  <c r="W6" i="210"/>
  <c r="I7" i="210"/>
  <c r="M7" i="210"/>
  <c r="V7" i="210"/>
  <c r="W7" i="210"/>
  <c r="I8" i="210"/>
  <c r="M8" i="210"/>
  <c r="V8" i="210"/>
  <c r="W8" i="210"/>
  <c r="I9" i="210"/>
  <c r="M9" i="210"/>
  <c r="V9" i="210"/>
  <c r="W9" i="210"/>
  <c r="I10" i="210"/>
  <c r="M10" i="210"/>
  <c r="V10" i="210"/>
  <c r="W10" i="210"/>
  <c r="E11" i="210"/>
  <c r="I11" i="210"/>
  <c r="M11" i="210"/>
  <c r="V11" i="210"/>
  <c r="W11" i="210"/>
  <c r="E12" i="210"/>
  <c r="E26" i="210" s="1"/>
  <c r="F11" i="210" s="1"/>
  <c r="I12" i="210"/>
  <c r="M12" i="210"/>
  <c r="V12" i="210"/>
  <c r="W12" i="210"/>
  <c r="E13" i="210"/>
  <c r="E14" i="210"/>
  <c r="E15" i="210"/>
  <c r="E16" i="210"/>
  <c r="E17" i="210"/>
  <c r="E18" i="210"/>
  <c r="E19" i="210"/>
  <c r="E20" i="210"/>
  <c r="E21" i="210"/>
  <c r="E22" i="210"/>
  <c r="E23" i="210"/>
  <c r="E24" i="210"/>
  <c r="E25" i="210"/>
  <c r="C27" i="210"/>
  <c r="G33" i="210"/>
  <c r="N5" i="210" s="1"/>
  <c r="F36" i="210"/>
  <c r="F20" i="210" l="1"/>
  <c r="U6" i="211"/>
  <c r="X6" i="211" s="1"/>
  <c r="Y6" i="211" s="1"/>
  <c r="Z6" i="211" s="1"/>
  <c r="Q6" i="211" s="1"/>
  <c r="F24" i="210"/>
  <c r="N8" i="210"/>
  <c r="P8" i="210" s="1"/>
  <c r="R8" i="210" s="1"/>
  <c r="N6" i="210"/>
  <c r="F15" i="210"/>
  <c r="F22" i="210"/>
  <c r="F18" i="210"/>
  <c r="F14" i="210"/>
  <c r="F16" i="210"/>
  <c r="F12" i="210"/>
  <c r="F25" i="210"/>
  <c r="F17" i="210"/>
  <c r="N11" i="210"/>
  <c r="S5" i="212"/>
  <c r="S6" i="212"/>
  <c r="S8" i="212"/>
  <c r="S10" i="212"/>
  <c r="G25" i="212"/>
  <c r="S4" i="212"/>
  <c r="S7" i="212"/>
  <c r="S9" i="212"/>
  <c r="S11" i="212"/>
  <c r="S12" i="212"/>
  <c r="F31" i="212"/>
  <c r="G12" i="211"/>
  <c r="G13" i="211" s="1"/>
  <c r="G14" i="211" s="1"/>
  <c r="G15" i="211" s="1"/>
  <c r="G16" i="211" s="1"/>
  <c r="G17" i="211" s="1"/>
  <c r="G18" i="211" s="1"/>
  <c r="G19" i="211" s="1"/>
  <c r="G20" i="211" s="1"/>
  <c r="G21" i="211" s="1"/>
  <c r="G22" i="211" s="1"/>
  <c r="G23" i="211" s="1"/>
  <c r="G24" i="211" s="1"/>
  <c r="F26" i="211"/>
  <c r="P7" i="211"/>
  <c r="R7" i="211" s="1"/>
  <c r="U7" i="211"/>
  <c r="X7" i="211" s="1"/>
  <c r="Y7" i="211" s="1"/>
  <c r="Z7" i="211" s="1"/>
  <c r="Q7" i="211" s="1"/>
  <c r="P9" i="211"/>
  <c r="R9" i="211" s="1"/>
  <c r="U9" i="211"/>
  <c r="X9" i="211" s="1"/>
  <c r="Y9" i="211" s="1"/>
  <c r="Z9" i="211" s="1"/>
  <c r="Q9" i="211" s="1"/>
  <c r="P11" i="211"/>
  <c r="R11" i="211" s="1"/>
  <c r="U11" i="211"/>
  <c r="X11" i="211" s="1"/>
  <c r="Y11" i="211" s="1"/>
  <c r="Z11" i="211" s="1"/>
  <c r="Q11" i="211" s="1"/>
  <c r="P12" i="211"/>
  <c r="R12" i="211" s="1"/>
  <c r="U12" i="211"/>
  <c r="X12" i="211" s="1"/>
  <c r="Y12" i="211" s="1"/>
  <c r="Z12" i="211" s="1"/>
  <c r="Q12" i="211" s="1"/>
  <c r="P11" i="210"/>
  <c r="U11" i="210"/>
  <c r="X11" i="210" s="1"/>
  <c r="Y11" i="210" s="1"/>
  <c r="Z11" i="210" s="1"/>
  <c r="Q11" i="210" s="1"/>
  <c r="P5" i="210"/>
  <c r="U5" i="210"/>
  <c r="X5" i="210" s="1"/>
  <c r="Y5" i="210" s="1"/>
  <c r="Z5" i="210" s="1"/>
  <c r="G12" i="210"/>
  <c r="P6" i="210"/>
  <c r="U6" i="210"/>
  <c r="X6" i="210" s="1"/>
  <c r="Y6" i="210" s="1"/>
  <c r="Z6" i="210" s="1"/>
  <c r="Q6" i="210" s="1"/>
  <c r="Q5" i="210"/>
  <c r="F23" i="210"/>
  <c r="F21" i="210"/>
  <c r="F19" i="210"/>
  <c r="F13" i="210"/>
  <c r="N12" i="210"/>
  <c r="N9" i="210"/>
  <c r="N7" i="210"/>
  <c r="R6" i="210"/>
  <c r="R5" i="210"/>
  <c r="N4" i="210"/>
  <c r="E27" i="210"/>
  <c r="F27" i="210" s="1"/>
  <c r="R11" i="210"/>
  <c r="N10" i="210"/>
  <c r="F26" i="210" l="1"/>
  <c r="U8" i="210"/>
  <c r="X8" i="210" s="1"/>
  <c r="Y8" i="210" s="1"/>
  <c r="Z8" i="210" s="1"/>
  <c r="Q8" i="210" s="1"/>
  <c r="S5" i="211"/>
  <c r="S6" i="211"/>
  <c r="S8" i="211"/>
  <c r="S10" i="211"/>
  <c r="G25" i="211"/>
  <c r="S4" i="211"/>
  <c r="S7" i="211"/>
  <c r="S9" i="211"/>
  <c r="S11" i="211"/>
  <c r="S12" i="211"/>
  <c r="F31" i="211"/>
  <c r="P7" i="210"/>
  <c r="R7" i="210" s="1"/>
  <c r="U7" i="210"/>
  <c r="X7" i="210" s="1"/>
  <c r="Y7" i="210" s="1"/>
  <c r="Z7" i="210" s="1"/>
  <c r="Q7" i="210" s="1"/>
  <c r="P9" i="210"/>
  <c r="R9" i="210" s="1"/>
  <c r="U9" i="210"/>
  <c r="X9" i="210" s="1"/>
  <c r="Y9" i="210" s="1"/>
  <c r="Z9" i="210" s="1"/>
  <c r="Q9" i="210" s="1"/>
  <c r="P12" i="210"/>
  <c r="R12" i="210" s="1"/>
  <c r="U12" i="210"/>
  <c r="X12" i="210" s="1"/>
  <c r="Y12" i="210" s="1"/>
  <c r="Z12" i="210" s="1"/>
  <c r="Q12" i="210" s="1"/>
  <c r="P10" i="210"/>
  <c r="R10" i="210" s="1"/>
  <c r="U10" i="210"/>
  <c r="X10" i="210" s="1"/>
  <c r="Y10" i="210" s="1"/>
  <c r="Z10" i="210" s="1"/>
  <c r="Q10" i="210" s="1"/>
  <c r="P4" i="210"/>
  <c r="R4" i="210" s="1"/>
  <c r="U4" i="210"/>
  <c r="X4" i="210" s="1"/>
  <c r="Y4" i="210" s="1"/>
  <c r="Z4" i="210" s="1"/>
  <c r="Q4" i="210" s="1"/>
  <c r="G13" i="210"/>
  <c r="G14" i="210" s="1"/>
  <c r="G15" i="210" s="1"/>
  <c r="G16" i="210" s="1"/>
  <c r="G17" i="210" s="1"/>
  <c r="G18" i="210" s="1"/>
  <c r="G19" i="210" s="1"/>
  <c r="G20" i="210" s="1"/>
  <c r="G21" i="210" s="1"/>
  <c r="G22" i="210" s="1"/>
  <c r="G23" i="210" s="1"/>
  <c r="G24" i="210" s="1"/>
  <c r="A122" i="156"/>
  <c r="A123" i="156" s="1"/>
  <c r="A124" i="156" s="1"/>
  <c r="A125" i="156" s="1"/>
  <c r="A126" i="156" s="1"/>
  <c r="A127" i="156" s="1"/>
  <c r="A128" i="156" s="1"/>
  <c r="A129" i="156" s="1"/>
  <c r="A130" i="156" s="1"/>
  <c r="A131" i="156" s="1"/>
  <c r="A132" i="156" s="1"/>
  <c r="A133" i="156" s="1"/>
  <c r="A134" i="156" s="1"/>
  <c r="A135" i="156" s="1"/>
  <c r="A136" i="156" s="1"/>
  <c r="A137" i="156" s="1"/>
  <c r="A138" i="156" s="1"/>
  <c r="A139" i="156" s="1"/>
  <c r="A140" i="156" s="1"/>
  <c r="A141" i="156" s="1"/>
  <c r="A142" i="156" s="1"/>
  <c r="A143" i="156" s="1"/>
  <c r="A144" i="156" s="1"/>
  <c r="A145" i="156" s="1"/>
  <c r="A146" i="156" s="1"/>
  <c r="A147" i="156" s="1"/>
  <c r="A148" i="156" s="1"/>
  <c r="A149" i="156" s="1"/>
  <c r="A150" i="156" s="1"/>
  <c r="A151" i="156" s="1"/>
  <c r="A152" i="156" s="1"/>
  <c r="A153" i="156" s="1"/>
  <c r="A154" i="156" s="1"/>
  <c r="A155" i="156" s="1"/>
  <c r="A156" i="156" s="1"/>
  <c r="A157" i="156" s="1"/>
  <c r="A158" i="156" s="1"/>
  <c r="A159" i="156" s="1"/>
  <c r="A160" i="156" s="1"/>
  <c r="A161" i="156" s="1"/>
  <c r="A162" i="156" s="1"/>
  <c r="A163" i="156" s="1"/>
  <c r="A164" i="156" s="1"/>
  <c r="A165" i="156" s="1"/>
  <c r="A166" i="156" s="1"/>
  <c r="A167" i="156" s="1"/>
  <c r="A168" i="156" s="1"/>
  <c r="A169" i="156" s="1"/>
  <c r="A170" i="156" s="1"/>
  <c r="A171" i="156" s="1"/>
  <c r="A172" i="156" s="1"/>
  <c r="A173" i="156" s="1"/>
  <c r="A174" i="156" s="1"/>
  <c r="A175" i="156" s="1"/>
  <c r="A176" i="156" s="1"/>
  <c r="A177" i="156" s="1"/>
  <c r="A178" i="156" s="1"/>
  <c r="A179" i="156" s="1"/>
  <c r="A180" i="156" s="1"/>
  <c r="S5" i="210" l="1"/>
  <c r="S6" i="210"/>
  <c r="S8" i="210"/>
  <c r="S10" i="210"/>
  <c r="G25" i="210"/>
  <c r="S4" i="210"/>
  <c r="S7" i="210"/>
  <c r="S9" i="210"/>
  <c r="S11" i="210"/>
  <c r="S12" i="210"/>
  <c r="F31" i="210"/>
  <c r="W31" i="208"/>
  <c r="W30" i="208"/>
  <c r="W27" i="208"/>
  <c r="W24" i="208"/>
  <c r="W22" i="208"/>
  <c r="W32" i="208" s="1"/>
  <c r="W31" i="207"/>
  <c r="W30" i="207"/>
  <c r="W27" i="207"/>
  <c r="W24" i="207"/>
  <c r="W22" i="207"/>
  <c r="W32" i="207" s="1"/>
  <c r="W31" i="206"/>
  <c r="W30" i="206"/>
  <c r="W27" i="206"/>
  <c r="W24" i="206"/>
  <c r="W22" i="206"/>
  <c r="W32" i="206" s="1"/>
  <c r="W31" i="205"/>
  <c r="W30" i="205"/>
  <c r="W27" i="205"/>
  <c r="W24" i="205"/>
  <c r="W22" i="205"/>
  <c r="W32" i="205" s="1"/>
  <c r="W31" i="204"/>
  <c r="W30" i="204"/>
  <c r="W27" i="204"/>
  <c r="W24" i="204"/>
  <c r="W22" i="204"/>
  <c r="W33" i="204" s="1"/>
  <c r="W31" i="203"/>
  <c r="W30" i="203"/>
  <c r="W27" i="203"/>
  <c r="W24" i="203"/>
  <c r="W22" i="203"/>
  <c r="W32" i="203" s="1"/>
  <c r="W31" i="202"/>
  <c r="W30" i="202"/>
  <c r="W27" i="202"/>
  <c r="W24" i="202"/>
  <c r="W22" i="202"/>
  <c r="W32" i="202" s="1"/>
  <c r="W31" i="201"/>
  <c r="W30" i="201"/>
  <c r="W27" i="201"/>
  <c r="W24" i="201"/>
  <c r="W22" i="201"/>
  <c r="W32" i="201" s="1"/>
  <c r="W31" i="200"/>
  <c r="W30" i="200"/>
  <c r="W27" i="200"/>
  <c r="W24" i="200"/>
  <c r="W22" i="200"/>
  <c r="W32" i="200" s="1"/>
  <c r="W31" i="199"/>
  <c r="W30" i="199"/>
  <c r="W27" i="199"/>
  <c r="W24" i="199"/>
  <c r="W22" i="199"/>
  <c r="W32" i="199" s="1"/>
  <c r="W31" i="198"/>
  <c r="W30" i="198"/>
  <c r="W27" i="198"/>
  <c r="W24" i="198"/>
  <c r="W22" i="198"/>
  <c r="W32" i="198" s="1"/>
  <c r="W31" i="197"/>
  <c r="W30" i="197"/>
  <c r="W27" i="197"/>
  <c r="W24" i="197"/>
  <c r="W22" i="197"/>
  <c r="W32" i="197" s="1"/>
  <c r="W31" i="196"/>
  <c r="W30" i="196"/>
  <c r="W27" i="196"/>
  <c r="W24" i="196"/>
  <c r="W22" i="196"/>
  <c r="W32" i="196" s="1"/>
  <c r="W31" i="195"/>
  <c r="W30" i="195"/>
  <c r="W27" i="195"/>
  <c r="W24" i="195"/>
  <c r="W22" i="195"/>
  <c r="W32" i="195" s="1"/>
  <c r="W31" i="194"/>
  <c r="W30" i="194"/>
  <c r="W27" i="194"/>
  <c r="W24" i="194"/>
  <c r="V36" i="194" s="1"/>
  <c r="W22" i="194"/>
  <c r="W32" i="194" s="1"/>
  <c r="W31" i="193"/>
  <c r="W30" i="193"/>
  <c r="X27" i="193"/>
  <c r="W27" i="193"/>
  <c r="W24" i="193"/>
  <c r="V36" i="193" s="1"/>
  <c r="W22" i="193"/>
  <c r="W32" i="193" s="1"/>
  <c r="W31" i="192"/>
  <c r="W30" i="192"/>
  <c r="W27" i="192"/>
  <c r="W24" i="192"/>
  <c r="V36" i="192" s="1"/>
  <c r="W22" i="192"/>
  <c r="W32" i="192" s="1"/>
  <c r="W31" i="191"/>
  <c r="W30" i="191"/>
  <c r="W27" i="191"/>
  <c r="W24" i="191"/>
  <c r="V36" i="191" s="1"/>
  <c r="W22" i="191"/>
  <c r="W32" i="191" s="1"/>
  <c r="W31" i="190"/>
  <c r="W30" i="190"/>
  <c r="W27" i="190"/>
  <c r="W24" i="190"/>
  <c r="V36" i="190" s="1"/>
  <c r="W22" i="190"/>
  <c r="W32" i="190" s="1"/>
  <c r="W31" i="189"/>
  <c r="W30" i="189"/>
  <c r="W27" i="189"/>
  <c r="W24" i="189"/>
  <c r="V36" i="189" s="1"/>
  <c r="W22" i="189"/>
  <c r="W32" i="189" s="1"/>
  <c r="W31" i="188"/>
  <c r="W30" i="188"/>
  <c r="W27" i="188"/>
  <c r="W24" i="188"/>
  <c r="V36" i="188" s="1"/>
  <c r="W22" i="188"/>
  <c r="W32" i="188" s="1"/>
  <c r="W31" i="187"/>
  <c r="W30" i="187"/>
  <c r="W27" i="187"/>
  <c r="W24" i="187"/>
  <c r="W22" i="187"/>
  <c r="W32" i="187" s="1"/>
  <c r="W31" i="186"/>
  <c r="W30" i="186"/>
  <c r="W27" i="186"/>
  <c r="W24" i="186"/>
  <c r="W22" i="186"/>
  <c r="W32" i="186" s="1"/>
  <c r="W31" i="185"/>
  <c r="W30" i="185"/>
  <c r="W27" i="185"/>
  <c r="W24" i="185"/>
  <c r="V36" i="185" s="1"/>
  <c r="W22" i="185"/>
  <c r="W32" i="185" s="1"/>
  <c r="W31" i="184"/>
  <c r="W30" i="184"/>
  <c r="W27" i="184"/>
  <c r="W24" i="184"/>
  <c r="W22" i="184"/>
  <c r="W32" i="184" s="1"/>
  <c r="W31" i="183"/>
  <c r="W30" i="183"/>
  <c r="W27" i="183"/>
  <c r="W24" i="183"/>
  <c r="W22" i="183"/>
  <c r="W32" i="183" s="1"/>
  <c r="W31" i="182"/>
  <c r="W30" i="182"/>
  <c r="W27" i="182"/>
  <c r="W24" i="182"/>
  <c r="W22" i="182"/>
  <c r="W32" i="182" s="1"/>
  <c r="W31" i="181"/>
  <c r="W30" i="181"/>
  <c r="W27" i="181"/>
  <c r="W24" i="181"/>
  <c r="W22" i="181"/>
  <c r="W32" i="181" s="1"/>
  <c r="W31" i="180"/>
  <c r="W30" i="180"/>
  <c r="W27" i="180"/>
  <c r="W24" i="180"/>
  <c r="W22" i="180"/>
  <c r="W32" i="180" s="1"/>
  <c r="W31" i="179"/>
  <c r="W30" i="179"/>
  <c r="W27" i="179"/>
  <c r="W24" i="179"/>
  <c r="W22" i="179"/>
  <c r="W32" i="179" s="1"/>
  <c r="W33" i="178"/>
  <c r="W31" i="178"/>
  <c r="W30" i="178"/>
  <c r="W27" i="178"/>
  <c r="W24" i="178"/>
  <c r="V36" i="178" s="1"/>
  <c r="W22" i="178"/>
  <c r="W32" i="178" s="1"/>
  <c r="W31" i="177"/>
  <c r="W30" i="177"/>
  <c r="W27" i="177"/>
  <c r="W24" i="177"/>
  <c r="W22" i="177"/>
  <c r="W32" i="177" s="1"/>
  <c r="W31" i="176"/>
  <c r="W30" i="176"/>
  <c r="W27" i="176"/>
  <c r="W24" i="176"/>
  <c r="W22" i="176"/>
  <c r="W32" i="176" s="1"/>
  <c r="W31" i="175"/>
  <c r="W30" i="175"/>
  <c r="W27" i="175"/>
  <c r="W24" i="175"/>
  <c r="W22" i="175"/>
  <c r="W32" i="175" s="1"/>
  <c r="W31" i="174"/>
  <c r="W30" i="174"/>
  <c r="W27" i="174"/>
  <c r="W24" i="174"/>
  <c r="W22" i="174"/>
  <c r="W32" i="174" s="1"/>
  <c r="W31" i="173"/>
  <c r="W30" i="173"/>
  <c r="W27" i="173"/>
  <c r="W24" i="173"/>
  <c r="W22" i="173"/>
  <c r="W32" i="173" s="1"/>
  <c r="W31" i="172"/>
  <c r="W30" i="172"/>
  <c r="W27" i="172"/>
  <c r="W24" i="172"/>
  <c r="W22" i="172"/>
  <c r="W32" i="172" s="1"/>
  <c r="W31" i="171"/>
  <c r="W30" i="171"/>
  <c r="W27" i="171"/>
  <c r="W24" i="171"/>
  <c r="W22" i="171"/>
  <c r="W32" i="171" s="1"/>
  <c r="W31" i="170"/>
  <c r="W30" i="170"/>
  <c r="W27" i="170"/>
  <c r="W24" i="170"/>
  <c r="W22" i="170"/>
  <c r="W32" i="170" s="1"/>
  <c r="W31" i="169"/>
  <c r="W30" i="169"/>
  <c r="W27" i="169"/>
  <c r="W24" i="169"/>
  <c r="V36" i="169" s="1"/>
  <c r="W22" i="169"/>
  <c r="W32" i="169" s="1"/>
  <c r="W31" i="168"/>
  <c r="W30" i="168"/>
  <c r="W27" i="168"/>
  <c r="W24" i="168"/>
  <c r="V36" i="168" s="1"/>
  <c r="W22" i="168"/>
  <c r="W32" i="168" s="1"/>
  <c r="W31" i="167"/>
  <c r="W30" i="167"/>
  <c r="W27" i="167"/>
  <c r="W24" i="167"/>
  <c r="W22" i="167"/>
  <c r="W32" i="167" s="1"/>
  <c r="W31" i="166"/>
  <c r="W30" i="166"/>
  <c r="W27" i="166"/>
  <c r="W24" i="166"/>
  <c r="W22" i="166"/>
  <c r="W33" i="166" s="1"/>
  <c r="W31" i="165"/>
  <c r="W30" i="165"/>
  <c r="W27" i="165"/>
  <c r="W24" i="165"/>
  <c r="W22" i="165"/>
  <c r="W32" i="165" s="1"/>
  <c r="W31" i="164"/>
  <c r="W30" i="164"/>
  <c r="W27" i="164"/>
  <c r="W24" i="164"/>
  <c r="W22" i="164"/>
  <c r="W32" i="164" s="1"/>
  <c r="W31" i="163"/>
  <c r="W30" i="163"/>
  <c r="W27" i="163"/>
  <c r="W24" i="163"/>
  <c r="W22" i="163"/>
  <c r="W33" i="163" s="1"/>
  <c r="W33" i="162"/>
  <c r="W31" i="162"/>
  <c r="W30" i="162"/>
  <c r="X27" i="162"/>
  <c r="W27" i="162"/>
  <c r="W24" i="162"/>
  <c r="V36" i="162" s="1"/>
  <c r="W22" i="162"/>
  <c r="W32" i="162" s="1"/>
  <c r="W31" i="161"/>
  <c r="W30" i="161"/>
  <c r="W27" i="161"/>
  <c r="W24" i="161"/>
  <c r="V36" i="161" s="1"/>
  <c r="W22" i="161"/>
  <c r="W33" i="161" s="1"/>
  <c r="W31" i="160"/>
  <c r="W30" i="160"/>
  <c r="X27" i="160"/>
  <c r="W27" i="160"/>
  <c r="W24" i="160"/>
  <c r="V36" i="160" s="1"/>
  <c r="W22" i="160"/>
  <c r="W32" i="160" s="1"/>
  <c r="W31" i="159"/>
  <c r="W30" i="159"/>
  <c r="W27" i="159"/>
  <c r="W24" i="159"/>
  <c r="W22" i="159"/>
  <c r="W32" i="159" s="1"/>
  <c r="W31" i="158"/>
  <c r="W30" i="158"/>
  <c r="X27" i="158"/>
  <c r="W27" i="158"/>
  <c r="W24" i="158"/>
  <c r="V36" i="158" s="1"/>
  <c r="W22" i="158"/>
  <c r="W32" i="158" s="1"/>
  <c r="W31" i="157"/>
  <c r="W30" i="157"/>
  <c r="W27" i="157"/>
  <c r="W24" i="157"/>
  <c r="V36" i="157" s="1"/>
  <c r="W22" i="157"/>
  <c r="W33" i="157" s="1"/>
  <c r="I4" i="208"/>
  <c r="M4" i="208"/>
  <c r="V4" i="208"/>
  <c r="W4" i="208"/>
  <c r="I5" i="208"/>
  <c r="M5" i="208"/>
  <c r="V5" i="208"/>
  <c r="W5" i="208"/>
  <c r="AE5" i="208"/>
  <c r="I6" i="208"/>
  <c r="M6" i="208"/>
  <c r="V6" i="208"/>
  <c r="W6" i="208"/>
  <c r="I7" i="208"/>
  <c r="M7" i="208"/>
  <c r="V7" i="208"/>
  <c r="W7" i="208"/>
  <c r="I8" i="208"/>
  <c r="M8" i="208"/>
  <c r="V8" i="208"/>
  <c r="W8" i="208"/>
  <c r="I9" i="208"/>
  <c r="M9" i="208"/>
  <c r="V9" i="208"/>
  <c r="W9" i="208"/>
  <c r="I10" i="208"/>
  <c r="M10" i="208"/>
  <c r="V10" i="208"/>
  <c r="W10" i="208"/>
  <c r="E11" i="208"/>
  <c r="I11" i="208"/>
  <c r="M11" i="208"/>
  <c r="V11" i="208"/>
  <c r="W11" i="208"/>
  <c r="E12" i="208"/>
  <c r="I12" i="208"/>
  <c r="M12" i="208"/>
  <c r="V12" i="208"/>
  <c r="W12" i="208"/>
  <c r="E13" i="208"/>
  <c r="E14" i="208"/>
  <c r="E15" i="208"/>
  <c r="E16" i="208"/>
  <c r="E17" i="208"/>
  <c r="E18" i="208"/>
  <c r="E19" i="208"/>
  <c r="E20" i="208"/>
  <c r="E21" i="208"/>
  <c r="E22" i="208"/>
  <c r="E23" i="208"/>
  <c r="E24" i="208"/>
  <c r="E25" i="208"/>
  <c r="C27" i="208"/>
  <c r="G33" i="208"/>
  <c r="N5" i="208" s="1"/>
  <c r="F36" i="208"/>
  <c r="N6" i="208" l="1"/>
  <c r="F19" i="208"/>
  <c r="N4" i="208"/>
  <c r="W33" i="165"/>
  <c r="W33" i="169"/>
  <c r="X27" i="178"/>
  <c r="W33" i="185"/>
  <c r="E26" i="208"/>
  <c r="F11" i="208" s="1"/>
  <c r="N12" i="208"/>
  <c r="X27" i="165"/>
  <c r="W33" i="168"/>
  <c r="X27" i="169"/>
  <c r="X27" i="185"/>
  <c r="F25" i="208"/>
  <c r="N11" i="208"/>
  <c r="P11" i="208" s="1"/>
  <c r="R11" i="208" s="1"/>
  <c r="W33" i="158"/>
  <c r="W33" i="160"/>
  <c r="X27" i="168"/>
  <c r="W33" i="193"/>
  <c r="X27" i="208"/>
  <c r="W33" i="208"/>
  <c r="X27" i="207"/>
  <c r="W33" i="207"/>
  <c r="X27" i="206"/>
  <c r="W33" i="206"/>
  <c r="X27" i="205"/>
  <c r="W33" i="205"/>
  <c r="X27" i="203"/>
  <c r="W33" i="203"/>
  <c r="W33" i="202"/>
  <c r="X27" i="202"/>
  <c r="X27" i="201"/>
  <c r="W33" i="201"/>
  <c r="X27" i="200"/>
  <c r="W33" i="200"/>
  <c r="X27" i="199"/>
  <c r="W33" i="199"/>
  <c r="X27" i="198"/>
  <c r="W33" i="198"/>
  <c r="X27" i="197"/>
  <c r="W33" i="197"/>
  <c r="X27" i="196"/>
  <c r="W33" i="196"/>
  <c r="X27" i="195"/>
  <c r="W33" i="195"/>
  <c r="X27" i="194"/>
  <c r="W33" i="194"/>
  <c r="X27" i="192"/>
  <c r="W33" i="192"/>
  <c r="X27" i="191"/>
  <c r="W33" i="191"/>
  <c r="X27" i="190"/>
  <c r="W33" i="190"/>
  <c r="X27" i="189"/>
  <c r="W33" i="189"/>
  <c r="W33" i="188"/>
  <c r="X27" i="188"/>
  <c r="X27" i="187"/>
  <c r="W33" i="187"/>
  <c r="W33" i="186"/>
  <c r="X27" i="186"/>
  <c r="W33" i="184"/>
  <c r="X27" i="184"/>
  <c r="X27" i="183"/>
  <c r="W33" i="183"/>
  <c r="W33" i="182"/>
  <c r="X27" i="182"/>
  <c r="X27" i="181"/>
  <c r="W33" i="181"/>
  <c r="W33" i="180"/>
  <c r="X27" i="180"/>
  <c r="X27" i="179"/>
  <c r="W33" i="179"/>
  <c r="X27" i="177"/>
  <c r="W33" i="177"/>
  <c r="W33" i="176"/>
  <c r="X27" i="176"/>
  <c r="X27" i="175"/>
  <c r="W33" i="175"/>
  <c r="W33" i="174"/>
  <c r="X27" i="174"/>
  <c r="X27" i="173"/>
  <c r="W33" i="173"/>
  <c r="W33" i="172"/>
  <c r="X27" i="172"/>
  <c r="X27" i="171"/>
  <c r="W33" i="171"/>
  <c r="W33" i="170"/>
  <c r="X27" i="170"/>
  <c r="X27" i="167"/>
  <c r="W33" i="167"/>
  <c r="W33" i="164"/>
  <c r="X27" i="164"/>
  <c r="X27" i="159"/>
  <c r="W33" i="159"/>
  <c r="W32" i="204"/>
  <c r="X27" i="204"/>
  <c r="W32" i="166"/>
  <c r="X27" i="166"/>
  <c r="W32" i="163"/>
  <c r="X27" i="163"/>
  <c r="W32" i="161"/>
  <c r="X27" i="161"/>
  <c r="W32" i="157"/>
  <c r="X27" i="157"/>
  <c r="U11" i="208"/>
  <c r="X11" i="208" s="1"/>
  <c r="Y11" i="208" s="1"/>
  <c r="Z11" i="208" s="1"/>
  <c r="Q11" i="208" s="1"/>
  <c r="P5" i="208"/>
  <c r="U5" i="208"/>
  <c r="X5" i="208" s="1"/>
  <c r="Y5" i="208" s="1"/>
  <c r="Z5" i="208" s="1"/>
  <c r="Q5" i="208" s="1"/>
  <c r="P12" i="208"/>
  <c r="U12" i="208"/>
  <c r="X12" i="208" s="1"/>
  <c r="Y12" i="208" s="1"/>
  <c r="Z12" i="208" s="1"/>
  <c r="Q12" i="208" s="1"/>
  <c r="P6" i="208"/>
  <c r="U6" i="208"/>
  <c r="X6" i="208" s="1"/>
  <c r="Y6" i="208" s="1"/>
  <c r="Z6" i="208" s="1"/>
  <c r="Q6" i="208" s="1"/>
  <c r="P4" i="208"/>
  <c r="R4" i="208" s="1"/>
  <c r="U4" i="208"/>
  <c r="X4" i="208" s="1"/>
  <c r="Y4" i="208" s="1"/>
  <c r="Z4" i="208" s="1"/>
  <c r="Q4" i="208" s="1"/>
  <c r="N9" i="208"/>
  <c r="N7" i="208"/>
  <c r="R6" i="208"/>
  <c r="R5" i="208"/>
  <c r="E27" i="208"/>
  <c r="F27" i="208" s="1"/>
  <c r="R12" i="208"/>
  <c r="N10" i="208"/>
  <c r="N8" i="208"/>
  <c r="I4" i="207"/>
  <c r="M4" i="207"/>
  <c r="V4" i="207"/>
  <c r="W4" i="207"/>
  <c r="I5" i="207"/>
  <c r="M5" i="207"/>
  <c r="V5" i="207"/>
  <c r="W5" i="207"/>
  <c r="AE5" i="207"/>
  <c r="I6" i="207"/>
  <c r="M6" i="207"/>
  <c r="V6" i="207"/>
  <c r="W6" i="207"/>
  <c r="I7" i="207"/>
  <c r="M7" i="207"/>
  <c r="V7" i="207"/>
  <c r="W7" i="207"/>
  <c r="I8" i="207"/>
  <c r="M8" i="207"/>
  <c r="V8" i="207"/>
  <c r="W8" i="207"/>
  <c r="I9" i="207"/>
  <c r="M9" i="207"/>
  <c r="V9" i="207"/>
  <c r="W9" i="207"/>
  <c r="I10" i="207"/>
  <c r="M10" i="207"/>
  <c r="V10" i="207"/>
  <c r="W10" i="207"/>
  <c r="E11" i="207"/>
  <c r="I11" i="207"/>
  <c r="M11" i="207"/>
  <c r="V11" i="207"/>
  <c r="W11" i="207"/>
  <c r="E12" i="207"/>
  <c r="I12" i="207"/>
  <c r="M12" i="207"/>
  <c r="V12" i="207"/>
  <c r="W12" i="207"/>
  <c r="E13" i="207"/>
  <c r="E14" i="207"/>
  <c r="E15" i="207"/>
  <c r="E16" i="207"/>
  <c r="E17" i="207"/>
  <c r="E18" i="207"/>
  <c r="E19" i="207"/>
  <c r="E20" i="207"/>
  <c r="E21" i="207"/>
  <c r="E22" i="207"/>
  <c r="E23" i="207"/>
  <c r="E24" i="207"/>
  <c r="E25" i="207"/>
  <c r="E26" i="207"/>
  <c r="E27" i="207" s="1"/>
  <c r="F27" i="207" s="1"/>
  <c r="C27" i="207"/>
  <c r="G33" i="207"/>
  <c r="F36" i="207"/>
  <c r="F22" i="207" l="1"/>
  <c r="F20" i="208"/>
  <c r="F13" i="208"/>
  <c r="F12" i="208"/>
  <c r="G12" i="208" s="1"/>
  <c r="G13" i="208" s="1"/>
  <c r="G14" i="208" s="1"/>
  <c r="G15" i="208" s="1"/>
  <c r="F23" i="208"/>
  <c r="F14" i="207"/>
  <c r="F24" i="207"/>
  <c r="F16" i="207"/>
  <c r="N10" i="207"/>
  <c r="N8" i="207"/>
  <c r="N6" i="207"/>
  <c r="F22" i="208"/>
  <c r="F17" i="208"/>
  <c r="F14" i="208"/>
  <c r="F18" i="207"/>
  <c r="N12" i="207"/>
  <c r="U12" i="207" s="1"/>
  <c r="X12" i="207" s="1"/>
  <c r="Y12" i="207" s="1"/>
  <c r="Z12" i="207" s="1"/>
  <c r="Q12" i="207" s="1"/>
  <c r="F20" i="207"/>
  <c r="F11" i="207"/>
  <c r="N5" i="207"/>
  <c r="F24" i="208"/>
  <c r="F21" i="208"/>
  <c r="F18" i="208"/>
  <c r="F15" i="208"/>
  <c r="F16" i="208"/>
  <c r="P10" i="208"/>
  <c r="R10" i="208" s="1"/>
  <c r="U10" i="208"/>
  <c r="X10" i="208" s="1"/>
  <c r="Y10" i="208" s="1"/>
  <c r="Z10" i="208" s="1"/>
  <c r="Q10" i="208" s="1"/>
  <c r="P7" i="208"/>
  <c r="R7" i="208" s="1"/>
  <c r="U7" i="208"/>
  <c r="X7" i="208" s="1"/>
  <c r="Y7" i="208" s="1"/>
  <c r="Z7" i="208" s="1"/>
  <c r="Q7" i="208" s="1"/>
  <c r="P9" i="208"/>
  <c r="R9" i="208" s="1"/>
  <c r="U9" i="208"/>
  <c r="X9" i="208" s="1"/>
  <c r="Y9" i="208" s="1"/>
  <c r="Z9" i="208" s="1"/>
  <c r="Q9" i="208" s="1"/>
  <c r="P8" i="208"/>
  <c r="R8" i="208" s="1"/>
  <c r="U8" i="208"/>
  <c r="X8" i="208" s="1"/>
  <c r="Y8" i="208" s="1"/>
  <c r="Z8" i="208" s="1"/>
  <c r="Q8" i="208" s="1"/>
  <c r="P5" i="207"/>
  <c r="U5" i="207"/>
  <c r="X5" i="207" s="1"/>
  <c r="Y5" i="207" s="1"/>
  <c r="Z5" i="207" s="1"/>
  <c r="P12" i="207"/>
  <c r="P10" i="207"/>
  <c r="U10" i="207"/>
  <c r="X10" i="207" s="1"/>
  <c r="Y10" i="207" s="1"/>
  <c r="Z10" i="207" s="1"/>
  <c r="P8" i="207"/>
  <c r="U8" i="207"/>
  <c r="X8" i="207" s="1"/>
  <c r="Y8" i="207" s="1"/>
  <c r="Z8" i="207" s="1"/>
  <c r="P6" i="207"/>
  <c r="U6" i="207"/>
  <c r="X6" i="207" s="1"/>
  <c r="Y6" i="207" s="1"/>
  <c r="Z6" i="207" s="1"/>
  <c r="Q6" i="207" s="1"/>
  <c r="Q10" i="207"/>
  <c r="Q8" i="207"/>
  <c r="Q5" i="207"/>
  <c r="F13" i="207"/>
  <c r="N11" i="207"/>
  <c r="R10" i="207"/>
  <c r="N9" i="207"/>
  <c r="R8" i="207"/>
  <c r="N7" i="207"/>
  <c r="R6" i="207"/>
  <c r="R5" i="207"/>
  <c r="N4" i="207"/>
  <c r="F25" i="207"/>
  <c r="F23" i="207"/>
  <c r="F21" i="207"/>
  <c r="F19" i="207"/>
  <c r="F17" i="207"/>
  <c r="F15" i="207"/>
  <c r="F12" i="207"/>
  <c r="R12" i="207"/>
  <c r="I4" i="206"/>
  <c r="M4" i="206"/>
  <c r="V4" i="206"/>
  <c r="W4" i="206"/>
  <c r="I5" i="206"/>
  <c r="M5" i="206"/>
  <c r="V5" i="206"/>
  <c r="W5" i="206"/>
  <c r="AE5" i="206"/>
  <c r="I6" i="206"/>
  <c r="M6" i="206"/>
  <c r="V6" i="206"/>
  <c r="W6" i="206"/>
  <c r="I7" i="206"/>
  <c r="M7" i="206"/>
  <c r="V7" i="206"/>
  <c r="W7" i="206"/>
  <c r="I8" i="206"/>
  <c r="M8" i="206"/>
  <c r="V8" i="206"/>
  <c r="W8" i="206"/>
  <c r="I9" i="206"/>
  <c r="M9" i="206"/>
  <c r="V9" i="206"/>
  <c r="W9" i="206"/>
  <c r="I10" i="206"/>
  <c r="M10" i="206"/>
  <c r="V10" i="206"/>
  <c r="W10" i="206"/>
  <c r="E11" i="206"/>
  <c r="I11" i="206"/>
  <c r="M11" i="206"/>
  <c r="V11" i="206"/>
  <c r="W11" i="206"/>
  <c r="E12" i="206"/>
  <c r="I12" i="206"/>
  <c r="M12" i="206"/>
  <c r="V12" i="206"/>
  <c r="W12" i="206"/>
  <c r="E13" i="206"/>
  <c r="E26" i="206" s="1"/>
  <c r="E27" i="206" s="1"/>
  <c r="F27" i="206" s="1"/>
  <c r="E14" i="206"/>
  <c r="E15" i="206"/>
  <c r="E16" i="206"/>
  <c r="E17" i="206"/>
  <c r="E18" i="206"/>
  <c r="E19" i="206"/>
  <c r="E20" i="206"/>
  <c r="E21" i="206"/>
  <c r="E22" i="206"/>
  <c r="E23" i="206"/>
  <c r="E24" i="206"/>
  <c r="E25" i="206"/>
  <c r="C27" i="206"/>
  <c r="G33" i="206"/>
  <c r="N4" i="206" s="1"/>
  <c r="F36" i="206"/>
  <c r="F26" i="208" l="1"/>
  <c r="F24" i="206"/>
  <c r="F20" i="206"/>
  <c r="F16" i="206"/>
  <c r="N10" i="206"/>
  <c r="N8" i="206"/>
  <c r="N6" i="206"/>
  <c r="F25" i="206"/>
  <c r="F23" i="206"/>
  <c r="F19" i="206"/>
  <c r="F15" i="206"/>
  <c r="F11" i="206"/>
  <c r="N5" i="206"/>
  <c r="G16" i="208"/>
  <c r="G17" i="208" s="1"/>
  <c r="G18" i="208" s="1"/>
  <c r="G19" i="208" s="1"/>
  <c r="G20" i="208" s="1"/>
  <c r="G21" i="208" s="1"/>
  <c r="G22" i="208" s="1"/>
  <c r="G23" i="208" s="1"/>
  <c r="G24" i="208" s="1"/>
  <c r="S6" i="208" s="1"/>
  <c r="F22" i="206"/>
  <c r="F18" i="206"/>
  <c r="F14" i="206"/>
  <c r="S5" i="208"/>
  <c r="S8" i="208"/>
  <c r="S10" i="208"/>
  <c r="G25" i="208"/>
  <c r="S7" i="208"/>
  <c r="S9" i="208"/>
  <c r="S11" i="208"/>
  <c r="F31" i="208"/>
  <c r="G12" i="207"/>
  <c r="G13" i="207" s="1"/>
  <c r="G14" i="207" s="1"/>
  <c r="G15" i="207" s="1"/>
  <c r="G16" i="207" s="1"/>
  <c r="G17" i="207" s="1"/>
  <c r="G18" i="207" s="1"/>
  <c r="G19" i="207" s="1"/>
  <c r="G20" i="207" s="1"/>
  <c r="G21" i="207" s="1"/>
  <c r="G22" i="207" s="1"/>
  <c r="G23" i="207" s="1"/>
  <c r="G24" i="207" s="1"/>
  <c r="F26" i="207"/>
  <c r="P7" i="207"/>
  <c r="R7" i="207" s="1"/>
  <c r="U7" i="207"/>
  <c r="X7" i="207" s="1"/>
  <c r="Y7" i="207" s="1"/>
  <c r="Z7" i="207" s="1"/>
  <c r="Q7" i="207" s="1"/>
  <c r="P9" i="207"/>
  <c r="R9" i="207" s="1"/>
  <c r="U9" i="207"/>
  <c r="X9" i="207" s="1"/>
  <c r="Y9" i="207" s="1"/>
  <c r="Z9" i="207" s="1"/>
  <c r="Q9" i="207" s="1"/>
  <c r="P11" i="207"/>
  <c r="R11" i="207" s="1"/>
  <c r="U11" i="207"/>
  <c r="X11" i="207" s="1"/>
  <c r="Y11" i="207" s="1"/>
  <c r="Z11" i="207" s="1"/>
  <c r="Q11" i="207" s="1"/>
  <c r="P4" i="207"/>
  <c r="R4" i="207" s="1"/>
  <c r="U4" i="207"/>
  <c r="X4" i="207" s="1"/>
  <c r="Y4" i="207" s="1"/>
  <c r="Z4" i="207" s="1"/>
  <c r="Q4" i="207" s="1"/>
  <c r="P4" i="206"/>
  <c r="U4" i="206"/>
  <c r="X4" i="206" s="1"/>
  <c r="Y4" i="206" s="1"/>
  <c r="Z4" i="206" s="1"/>
  <c r="Q4" i="206" s="1"/>
  <c r="P10" i="206"/>
  <c r="U10" i="206"/>
  <c r="X10" i="206" s="1"/>
  <c r="Y10" i="206" s="1"/>
  <c r="Z10" i="206" s="1"/>
  <c r="Q10" i="206" s="1"/>
  <c r="P8" i="206"/>
  <c r="U8" i="206"/>
  <c r="X8" i="206" s="1"/>
  <c r="Y8" i="206" s="1"/>
  <c r="Z8" i="206" s="1"/>
  <c r="Q8" i="206" s="1"/>
  <c r="P6" i="206"/>
  <c r="U6" i="206"/>
  <c r="X6" i="206" s="1"/>
  <c r="Y6" i="206" s="1"/>
  <c r="Z6" i="206" s="1"/>
  <c r="Q6" i="206" s="1"/>
  <c r="P5" i="206"/>
  <c r="R5" i="206" s="1"/>
  <c r="U5" i="206"/>
  <c r="X5" i="206" s="1"/>
  <c r="Y5" i="206" s="1"/>
  <c r="Z5" i="206" s="1"/>
  <c r="Q5" i="206" s="1"/>
  <c r="R4" i="206"/>
  <c r="F21" i="206"/>
  <c r="F17" i="206"/>
  <c r="F13" i="206"/>
  <c r="N12" i="206"/>
  <c r="F12" i="206"/>
  <c r="N11" i="206"/>
  <c r="R10" i="206"/>
  <c r="N9" i="206"/>
  <c r="R8" i="206"/>
  <c r="N7" i="206"/>
  <c r="R6" i="206"/>
  <c r="I4" i="205"/>
  <c r="M4" i="205"/>
  <c r="V4" i="205"/>
  <c r="W4" i="205"/>
  <c r="I5" i="205"/>
  <c r="M5" i="205"/>
  <c r="N5" i="205" s="1"/>
  <c r="V5" i="205"/>
  <c r="W5" i="205"/>
  <c r="AE5" i="205"/>
  <c r="I6" i="205"/>
  <c r="M6" i="205"/>
  <c r="V6" i="205"/>
  <c r="W6" i="205"/>
  <c r="I7" i="205"/>
  <c r="M7" i="205"/>
  <c r="V7" i="205"/>
  <c r="W7" i="205"/>
  <c r="I8" i="205"/>
  <c r="M8" i="205"/>
  <c r="V8" i="205"/>
  <c r="W8" i="205"/>
  <c r="I9" i="205"/>
  <c r="M9" i="205"/>
  <c r="V9" i="205"/>
  <c r="W9" i="205"/>
  <c r="I10" i="205"/>
  <c r="M10" i="205"/>
  <c r="V10" i="205"/>
  <c r="W10" i="205"/>
  <c r="E11" i="205"/>
  <c r="I11" i="205"/>
  <c r="M11" i="205"/>
  <c r="V11" i="205"/>
  <c r="W11" i="205"/>
  <c r="E12" i="205"/>
  <c r="E26" i="205" s="1"/>
  <c r="E27" i="205" s="1"/>
  <c r="F27" i="205" s="1"/>
  <c r="I12" i="205"/>
  <c r="M12" i="205"/>
  <c r="V12" i="205"/>
  <c r="W12" i="205"/>
  <c r="E13" i="205"/>
  <c r="E14" i="205"/>
  <c r="E15" i="205"/>
  <c r="E16" i="205"/>
  <c r="E17" i="205"/>
  <c r="E18" i="205"/>
  <c r="E19" i="205"/>
  <c r="E20" i="205"/>
  <c r="E21" i="205"/>
  <c r="E22" i="205"/>
  <c r="E23" i="205"/>
  <c r="E24" i="205"/>
  <c r="E25" i="205"/>
  <c r="C27" i="205"/>
  <c r="G33" i="205"/>
  <c r="F36" i="205"/>
  <c r="F22" i="205" l="1"/>
  <c r="F18" i="205"/>
  <c r="F14" i="205"/>
  <c r="S12" i="208"/>
  <c r="S4" i="208"/>
  <c r="F11" i="205"/>
  <c r="N4" i="205"/>
  <c r="F24" i="205"/>
  <c r="F20" i="205"/>
  <c r="F16" i="205"/>
  <c r="N10" i="205"/>
  <c r="N8" i="205"/>
  <c r="P8" i="205" s="1"/>
  <c r="R8" i="205" s="1"/>
  <c r="N6" i="205"/>
  <c r="S5" i="207"/>
  <c r="S6" i="207"/>
  <c r="S8" i="207"/>
  <c r="S10" i="207"/>
  <c r="G25" i="207"/>
  <c r="S12" i="207"/>
  <c r="S4" i="207"/>
  <c r="S7" i="207"/>
  <c r="S9" i="207"/>
  <c r="S11" i="207"/>
  <c r="F31" i="207"/>
  <c r="G12" i="206"/>
  <c r="G13" i="206" s="1"/>
  <c r="G14" i="206" s="1"/>
  <c r="G15" i="206" s="1"/>
  <c r="G16" i="206" s="1"/>
  <c r="G17" i="206" s="1"/>
  <c r="G18" i="206" s="1"/>
  <c r="G19" i="206" s="1"/>
  <c r="G20" i="206" s="1"/>
  <c r="G21" i="206" s="1"/>
  <c r="G22" i="206" s="1"/>
  <c r="G23" i="206" s="1"/>
  <c r="G24" i="206" s="1"/>
  <c r="F26" i="206"/>
  <c r="P7" i="206"/>
  <c r="R7" i="206" s="1"/>
  <c r="U7" i="206"/>
  <c r="X7" i="206" s="1"/>
  <c r="Y7" i="206" s="1"/>
  <c r="Z7" i="206" s="1"/>
  <c r="Q7" i="206" s="1"/>
  <c r="P9" i="206"/>
  <c r="R9" i="206" s="1"/>
  <c r="U9" i="206"/>
  <c r="X9" i="206" s="1"/>
  <c r="Y9" i="206" s="1"/>
  <c r="Z9" i="206" s="1"/>
  <c r="Q9" i="206" s="1"/>
  <c r="P11" i="206"/>
  <c r="R11" i="206" s="1"/>
  <c r="U11" i="206"/>
  <c r="X11" i="206" s="1"/>
  <c r="Y11" i="206" s="1"/>
  <c r="Z11" i="206" s="1"/>
  <c r="Q11" i="206" s="1"/>
  <c r="P12" i="206"/>
  <c r="R12" i="206" s="1"/>
  <c r="U12" i="206"/>
  <c r="X12" i="206" s="1"/>
  <c r="Y12" i="206" s="1"/>
  <c r="Z12" i="206" s="1"/>
  <c r="Q12" i="206" s="1"/>
  <c r="P5" i="205"/>
  <c r="U5" i="205"/>
  <c r="X5" i="205" s="1"/>
  <c r="Y5" i="205" s="1"/>
  <c r="Z5" i="205" s="1"/>
  <c r="Q5" i="205" s="1"/>
  <c r="P4" i="205"/>
  <c r="U4" i="205"/>
  <c r="X4" i="205" s="1"/>
  <c r="Y4" i="205" s="1"/>
  <c r="Z4" i="205" s="1"/>
  <c r="Q4" i="205" s="1"/>
  <c r="P10" i="205"/>
  <c r="U10" i="205"/>
  <c r="X10" i="205" s="1"/>
  <c r="Y10" i="205" s="1"/>
  <c r="Z10" i="205" s="1"/>
  <c r="Q10" i="205" s="1"/>
  <c r="P6" i="205"/>
  <c r="U6" i="205"/>
  <c r="X6" i="205" s="1"/>
  <c r="Y6" i="205" s="1"/>
  <c r="Z6" i="205" s="1"/>
  <c r="Q6" i="205" s="1"/>
  <c r="R4" i="205"/>
  <c r="F23" i="205"/>
  <c r="F21" i="205"/>
  <c r="F17" i="205"/>
  <c r="F15" i="205"/>
  <c r="F13" i="205"/>
  <c r="N12" i="205"/>
  <c r="F12" i="205"/>
  <c r="N11" i="205"/>
  <c r="R10" i="205"/>
  <c r="N9" i="205"/>
  <c r="N7" i="205"/>
  <c r="R6" i="205"/>
  <c r="R5" i="205"/>
  <c r="F25" i="205"/>
  <c r="F19" i="205"/>
  <c r="I4" i="204"/>
  <c r="M4" i="204"/>
  <c r="V4" i="204"/>
  <c r="W4" i="204"/>
  <c r="I5" i="204"/>
  <c r="M5" i="204"/>
  <c r="V5" i="204"/>
  <c r="W5" i="204"/>
  <c r="AE5" i="204"/>
  <c r="I6" i="204"/>
  <c r="M6" i="204"/>
  <c r="V6" i="204"/>
  <c r="W6" i="204"/>
  <c r="I7" i="204"/>
  <c r="M7" i="204"/>
  <c r="V7" i="204"/>
  <c r="W7" i="204"/>
  <c r="I8" i="204"/>
  <c r="M8" i="204"/>
  <c r="V8" i="204"/>
  <c r="W8" i="204"/>
  <c r="I9" i="204"/>
  <c r="M9" i="204"/>
  <c r="V9" i="204"/>
  <c r="W9" i="204"/>
  <c r="I10" i="204"/>
  <c r="M10" i="204"/>
  <c r="V10" i="204"/>
  <c r="W10" i="204"/>
  <c r="E11" i="204"/>
  <c r="I11" i="204"/>
  <c r="M11" i="204"/>
  <c r="V11" i="204"/>
  <c r="W11" i="204"/>
  <c r="E12" i="204"/>
  <c r="E26" i="204" s="1"/>
  <c r="E27" i="204" s="1"/>
  <c r="F27" i="204" s="1"/>
  <c r="I12" i="204"/>
  <c r="M12" i="204"/>
  <c r="V12" i="204"/>
  <c r="W12" i="204"/>
  <c r="E13" i="204"/>
  <c r="E14" i="204"/>
  <c r="E15" i="204"/>
  <c r="E16" i="204"/>
  <c r="E17" i="204"/>
  <c r="E18" i="204"/>
  <c r="E19" i="204"/>
  <c r="E20" i="204"/>
  <c r="E21" i="204"/>
  <c r="E22" i="204"/>
  <c r="E23" i="204"/>
  <c r="E24" i="204"/>
  <c r="E25" i="204"/>
  <c r="C27" i="204"/>
  <c r="G33" i="204"/>
  <c r="N4" i="204" s="1"/>
  <c r="F36" i="204"/>
  <c r="F24" i="204" l="1"/>
  <c r="N10" i="204"/>
  <c r="N6" i="204"/>
  <c r="F11" i="204"/>
  <c r="N5" i="204"/>
  <c r="F16" i="204"/>
  <c r="N8" i="204"/>
  <c r="F22" i="204"/>
  <c r="F14" i="204"/>
  <c r="U8" i="205"/>
  <c r="X8" i="205" s="1"/>
  <c r="Y8" i="205" s="1"/>
  <c r="Z8" i="205" s="1"/>
  <c r="Q8" i="205" s="1"/>
  <c r="F20" i="204"/>
  <c r="F18" i="204"/>
  <c r="S5" i="206"/>
  <c r="S6" i="206"/>
  <c r="S8" i="206"/>
  <c r="S10" i="206"/>
  <c r="G25" i="206"/>
  <c r="S4" i="206"/>
  <c r="S7" i="206"/>
  <c r="S9" i="206"/>
  <c r="S11" i="206"/>
  <c r="S12" i="206"/>
  <c r="F31" i="206"/>
  <c r="G12" i="205"/>
  <c r="G13" i="205" s="1"/>
  <c r="G14" i="205" s="1"/>
  <c r="G15" i="205" s="1"/>
  <c r="G16" i="205" s="1"/>
  <c r="G17" i="205" s="1"/>
  <c r="G18" i="205" s="1"/>
  <c r="G19" i="205" s="1"/>
  <c r="G20" i="205" s="1"/>
  <c r="G21" i="205" s="1"/>
  <c r="G22" i="205" s="1"/>
  <c r="G23" i="205" s="1"/>
  <c r="G24" i="205" s="1"/>
  <c r="F26" i="205"/>
  <c r="P7" i="205"/>
  <c r="R7" i="205" s="1"/>
  <c r="U7" i="205"/>
  <c r="X7" i="205" s="1"/>
  <c r="Y7" i="205" s="1"/>
  <c r="Z7" i="205" s="1"/>
  <c r="Q7" i="205" s="1"/>
  <c r="P9" i="205"/>
  <c r="R9" i="205" s="1"/>
  <c r="U9" i="205"/>
  <c r="X9" i="205" s="1"/>
  <c r="Y9" i="205" s="1"/>
  <c r="Z9" i="205" s="1"/>
  <c r="Q9" i="205" s="1"/>
  <c r="P11" i="205"/>
  <c r="R11" i="205" s="1"/>
  <c r="U11" i="205"/>
  <c r="X11" i="205" s="1"/>
  <c r="Y11" i="205" s="1"/>
  <c r="Z11" i="205" s="1"/>
  <c r="Q11" i="205" s="1"/>
  <c r="P12" i="205"/>
  <c r="R12" i="205" s="1"/>
  <c r="U12" i="205"/>
  <c r="X12" i="205" s="1"/>
  <c r="Y12" i="205" s="1"/>
  <c r="Z12" i="205" s="1"/>
  <c r="Q12" i="205" s="1"/>
  <c r="P5" i="204"/>
  <c r="U5" i="204"/>
  <c r="X5" i="204" s="1"/>
  <c r="Y5" i="204" s="1"/>
  <c r="Z5" i="204" s="1"/>
  <c r="P4" i="204"/>
  <c r="U4" i="204"/>
  <c r="X4" i="204" s="1"/>
  <c r="Y4" i="204" s="1"/>
  <c r="Z4" i="204" s="1"/>
  <c r="Q4" i="204" s="1"/>
  <c r="P10" i="204"/>
  <c r="U10" i="204"/>
  <c r="X10" i="204" s="1"/>
  <c r="Y10" i="204" s="1"/>
  <c r="Z10" i="204" s="1"/>
  <c r="P8" i="204"/>
  <c r="R8" i="204" s="1"/>
  <c r="U8" i="204"/>
  <c r="X8" i="204" s="1"/>
  <c r="Y8" i="204" s="1"/>
  <c r="Z8" i="204" s="1"/>
  <c r="Q8" i="204" s="1"/>
  <c r="P6" i="204"/>
  <c r="U6" i="204"/>
  <c r="X6" i="204" s="1"/>
  <c r="Y6" i="204" s="1"/>
  <c r="Z6" i="204" s="1"/>
  <c r="R4" i="204"/>
  <c r="Q10" i="204"/>
  <c r="Q6" i="204"/>
  <c r="Q5" i="204"/>
  <c r="F25" i="204"/>
  <c r="F23" i="204"/>
  <c r="F21" i="204"/>
  <c r="F19" i="204"/>
  <c r="F17" i="204"/>
  <c r="F15" i="204"/>
  <c r="F13" i="204"/>
  <c r="N12" i="204"/>
  <c r="F12" i="204"/>
  <c r="N11" i="204"/>
  <c r="R10" i="204"/>
  <c r="N9" i="204"/>
  <c r="N7" i="204"/>
  <c r="R6" i="204"/>
  <c r="R5" i="204"/>
  <c r="I4" i="203"/>
  <c r="M4" i="203"/>
  <c r="V4" i="203"/>
  <c r="W4" i="203"/>
  <c r="I5" i="203"/>
  <c r="M5" i="203"/>
  <c r="V5" i="203"/>
  <c r="W5" i="203"/>
  <c r="AE5" i="203"/>
  <c r="I6" i="203"/>
  <c r="M6" i="203"/>
  <c r="V6" i="203"/>
  <c r="W6" i="203"/>
  <c r="I7" i="203"/>
  <c r="M7" i="203"/>
  <c r="N7" i="203" s="1"/>
  <c r="V7" i="203"/>
  <c r="W7" i="203"/>
  <c r="I8" i="203"/>
  <c r="M8" i="203"/>
  <c r="V8" i="203"/>
  <c r="W8" i="203"/>
  <c r="I9" i="203"/>
  <c r="M9" i="203"/>
  <c r="N9" i="203" s="1"/>
  <c r="V9" i="203"/>
  <c r="W9" i="203"/>
  <c r="I10" i="203"/>
  <c r="M10" i="203"/>
  <c r="V10" i="203"/>
  <c r="W10" i="203"/>
  <c r="E11" i="203"/>
  <c r="I11" i="203"/>
  <c r="M11" i="203"/>
  <c r="N11" i="203" s="1"/>
  <c r="V11" i="203"/>
  <c r="W11" i="203"/>
  <c r="E12" i="203"/>
  <c r="I12" i="203"/>
  <c r="M12" i="203"/>
  <c r="N12" i="203" s="1"/>
  <c r="V12" i="203"/>
  <c r="W12" i="203"/>
  <c r="E13" i="203"/>
  <c r="E14" i="203"/>
  <c r="E15" i="203"/>
  <c r="E16" i="203"/>
  <c r="E17" i="203"/>
  <c r="E18" i="203"/>
  <c r="E19" i="203"/>
  <c r="E20" i="203"/>
  <c r="E21" i="203"/>
  <c r="E22" i="203"/>
  <c r="E23" i="203"/>
  <c r="E24" i="203"/>
  <c r="E25" i="203"/>
  <c r="C27" i="203"/>
  <c r="G33" i="203"/>
  <c r="N5" i="203" s="1"/>
  <c r="F36" i="203"/>
  <c r="N4" i="203" l="1"/>
  <c r="S5" i="205"/>
  <c r="S6" i="205"/>
  <c r="S8" i="205"/>
  <c r="S10" i="205"/>
  <c r="G25" i="205"/>
  <c r="S4" i="205"/>
  <c r="S7" i="205"/>
  <c r="S9" i="205"/>
  <c r="S11" i="205"/>
  <c r="S12" i="205"/>
  <c r="F31" i="205"/>
  <c r="G12" i="204"/>
  <c r="G13" i="204" s="1"/>
  <c r="G14" i="204" s="1"/>
  <c r="G15" i="204" s="1"/>
  <c r="G16" i="204" s="1"/>
  <c r="G17" i="204" s="1"/>
  <c r="G18" i="204" s="1"/>
  <c r="G19" i="204" s="1"/>
  <c r="G20" i="204" s="1"/>
  <c r="G21" i="204" s="1"/>
  <c r="G22" i="204" s="1"/>
  <c r="G23" i="204" s="1"/>
  <c r="G24" i="204" s="1"/>
  <c r="F26" i="204"/>
  <c r="P7" i="204"/>
  <c r="R7" i="204" s="1"/>
  <c r="U7" i="204"/>
  <c r="X7" i="204" s="1"/>
  <c r="Y7" i="204" s="1"/>
  <c r="Z7" i="204" s="1"/>
  <c r="Q7" i="204" s="1"/>
  <c r="P9" i="204"/>
  <c r="R9" i="204" s="1"/>
  <c r="U9" i="204"/>
  <c r="X9" i="204" s="1"/>
  <c r="Y9" i="204" s="1"/>
  <c r="Z9" i="204" s="1"/>
  <c r="Q9" i="204" s="1"/>
  <c r="P11" i="204"/>
  <c r="R11" i="204" s="1"/>
  <c r="U11" i="204"/>
  <c r="X11" i="204" s="1"/>
  <c r="Y11" i="204" s="1"/>
  <c r="Z11" i="204" s="1"/>
  <c r="Q11" i="204" s="1"/>
  <c r="P12" i="204"/>
  <c r="R12" i="204" s="1"/>
  <c r="U12" i="204"/>
  <c r="X12" i="204" s="1"/>
  <c r="Y12" i="204" s="1"/>
  <c r="Z12" i="204" s="1"/>
  <c r="Q12" i="204" s="1"/>
  <c r="P12" i="203"/>
  <c r="U12" i="203"/>
  <c r="X12" i="203" s="1"/>
  <c r="Y12" i="203" s="1"/>
  <c r="Z12" i="203" s="1"/>
  <c r="Q12" i="203" s="1"/>
  <c r="P9" i="203"/>
  <c r="U9" i="203"/>
  <c r="X9" i="203" s="1"/>
  <c r="Y9" i="203" s="1"/>
  <c r="Z9" i="203" s="1"/>
  <c r="P7" i="203"/>
  <c r="U7" i="203"/>
  <c r="X7" i="203" s="1"/>
  <c r="Y7" i="203" s="1"/>
  <c r="Z7" i="203" s="1"/>
  <c r="Q7" i="203" s="1"/>
  <c r="P5" i="203"/>
  <c r="U5" i="203"/>
  <c r="X5" i="203" s="1"/>
  <c r="Y5" i="203" s="1"/>
  <c r="Z5" i="203" s="1"/>
  <c r="Q5" i="203" s="1"/>
  <c r="P11" i="203"/>
  <c r="R11" i="203" s="1"/>
  <c r="U11" i="203"/>
  <c r="X11" i="203" s="1"/>
  <c r="Y11" i="203" s="1"/>
  <c r="Z11" i="203" s="1"/>
  <c r="Q11" i="203" s="1"/>
  <c r="P4" i="203"/>
  <c r="R4" i="203" s="1"/>
  <c r="U4" i="203"/>
  <c r="X4" i="203" s="1"/>
  <c r="Y4" i="203" s="1"/>
  <c r="Z4" i="203" s="1"/>
  <c r="Q4" i="203" s="1"/>
  <c r="F15" i="203"/>
  <c r="Q9" i="203"/>
  <c r="E26" i="203"/>
  <c r="R5" i="203"/>
  <c r="R12" i="203"/>
  <c r="N10" i="203"/>
  <c r="R9" i="203"/>
  <c r="N8" i="203"/>
  <c r="R7" i="203"/>
  <c r="N6" i="203"/>
  <c r="I4" i="202"/>
  <c r="M4" i="202"/>
  <c r="V4" i="202"/>
  <c r="W4" i="202"/>
  <c r="I5" i="202"/>
  <c r="M5" i="202"/>
  <c r="V5" i="202"/>
  <c r="W5" i="202"/>
  <c r="AE5" i="202"/>
  <c r="I6" i="202"/>
  <c r="M6" i="202"/>
  <c r="V6" i="202"/>
  <c r="W6" i="202"/>
  <c r="I7" i="202"/>
  <c r="M7" i="202"/>
  <c r="V7" i="202"/>
  <c r="W7" i="202"/>
  <c r="I8" i="202"/>
  <c r="M8" i="202"/>
  <c r="V8" i="202"/>
  <c r="W8" i="202"/>
  <c r="I9" i="202"/>
  <c r="M9" i="202"/>
  <c r="V9" i="202"/>
  <c r="W9" i="202"/>
  <c r="I10" i="202"/>
  <c r="M10" i="202"/>
  <c r="V10" i="202"/>
  <c r="W10" i="202"/>
  <c r="E11" i="202"/>
  <c r="I11" i="202"/>
  <c r="M11" i="202"/>
  <c r="V11" i="202"/>
  <c r="W11" i="202"/>
  <c r="E12" i="202"/>
  <c r="I12" i="202"/>
  <c r="M12" i="202"/>
  <c r="V12" i="202"/>
  <c r="W12" i="202"/>
  <c r="E13" i="202"/>
  <c r="E14" i="202"/>
  <c r="E15" i="202"/>
  <c r="E16" i="202"/>
  <c r="E17" i="202"/>
  <c r="E18" i="202"/>
  <c r="E19" i="202"/>
  <c r="E20" i="202"/>
  <c r="E21" i="202"/>
  <c r="E22" i="202"/>
  <c r="E23" i="202"/>
  <c r="E24" i="202"/>
  <c r="E25" i="202"/>
  <c r="E26" i="202"/>
  <c r="E27" i="202" s="1"/>
  <c r="F27" i="202" s="1"/>
  <c r="C27" i="202"/>
  <c r="G33" i="202"/>
  <c r="N4" i="202" s="1"/>
  <c r="F36" i="202"/>
  <c r="F22" i="202" l="1"/>
  <c r="F14" i="202"/>
  <c r="F24" i="202"/>
  <c r="F20" i="202"/>
  <c r="F16" i="202"/>
  <c r="N10" i="202"/>
  <c r="N8" i="202"/>
  <c r="N6" i="202"/>
  <c r="U6" i="202" s="1"/>
  <c r="X6" i="202" s="1"/>
  <c r="Y6" i="202" s="1"/>
  <c r="Z6" i="202" s="1"/>
  <c r="Q6" i="202" s="1"/>
  <c r="F18" i="202"/>
  <c r="F11" i="202"/>
  <c r="N5" i="202"/>
  <c r="S5" i="204"/>
  <c r="S6" i="204"/>
  <c r="S8" i="204"/>
  <c r="S10" i="204"/>
  <c r="G25" i="204"/>
  <c r="S4" i="204"/>
  <c r="S7" i="204"/>
  <c r="S9" i="204"/>
  <c r="S11" i="204"/>
  <c r="S12" i="204"/>
  <c r="F31" i="204"/>
  <c r="F11" i="203"/>
  <c r="F14" i="203"/>
  <c r="F16" i="203"/>
  <c r="F18" i="203"/>
  <c r="F20" i="203"/>
  <c r="F22" i="203"/>
  <c r="F24" i="203"/>
  <c r="E27" i="203"/>
  <c r="F27" i="203" s="1"/>
  <c r="F21" i="203"/>
  <c r="F12" i="203"/>
  <c r="F13" i="203"/>
  <c r="F19" i="203"/>
  <c r="F25" i="203"/>
  <c r="P6" i="203"/>
  <c r="R6" i="203" s="1"/>
  <c r="U6" i="203"/>
  <c r="X6" i="203" s="1"/>
  <c r="Y6" i="203" s="1"/>
  <c r="Z6" i="203" s="1"/>
  <c r="Q6" i="203" s="1"/>
  <c r="P8" i="203"/>
  <c r="R8" i="203" s="1"/>
  <c r="U8" i="203"/>
  <c r="X8" i="203" s="1"/>
  <c r="Y8" i="203" s="1"/>
  <c r="Z8" i="203" s="1"/>
  <c r="Q8" i="203" s="1"/>
  <c r="P10" i="203"/>
  <c r="R10" i="203" s="1"/>
  <c r="U10" i="203"/>
  <c r="X10" i="203" s="1"/>
  <c r="Y10" i="203" s="1"/>
  <c r="Z10" i="203" s="1"/>
  <c r="Q10" i="203" s="1"/>
  <c r="F17" i="203"/>
  <c r="F23" i="203"/>
  <c r="P5" i="202"/>
  <c r="U5" i="202"/>
  <c r="X5" i="202" s="1"/>
  <c r="Y5" i="202" s="1"/>
  <c r="Z5" i="202" s="1"/>
  <c r="P4" i="202"/>
  <c r="U4" i="202"/>
  <c r="X4" i="202" s="1"/>
  <c r="Y4" i="202" s="1"/>
  <c r="Z4" i="202" s="1"/>
  <c r="Q4" i="202" s="1"/>
  <c r="P10" i="202"/>
  <c r="R10" i="202" s="1"/>
  <c r="U10" i="202"/>
  <c r="X10" i="202" s="1"/>
  <c r="Y10" i="202" s="1"/>
  <c r="Z10" i="202" s="1"/>
  <c r="Q10" i="202" s="1"/>
  <c r="P8" i="202"/>
  <c r="U8" i="202"/>
  <c r="X8" i="202" s="1"/>
  <c r="Y8" i="202" s="1"/>
  <c r="Z8" i="202" s="1"/>
  <c r="P6" i="202"/>
  <c r="R6" i="202" s="1"/>
  <c r="R4" i="202"/>
  <c r="Q8" i="202"/>
  <c r="Q5" i="202"/>
  <c r="F25" i="202"/>
  <c r="F21" i="202"/>
  <c r="F19" i="202"/>
  <c r="F17" i="202"/>
  <c r="F15" i="202"/>
  <c r="F13" i="202"/>
  <c r="N12" i="202"/>
  <c r="F12" i="202"/>
  <c r="N11" i="202"/>
  <c r="N9" i="202"/>
  <c r="R8" i="202"/>
  <c r="N7" i="202"/>
  <c r="R5" i="202"/>
  <c r="F23" i="202"/>
  <c r="I4" i="201"/>
  <c r="M4" i="201"/>
  <c r="V4" i="201"/>
  <c r="W4" i="201"/>
  <c r="I5" i="201"/>
  <c r="M5" i="201"/>
  <c r="V5" i="201"/>
  <c r="W5" i="201"/>
  <c r="AE5" i="201"/>
  <c r="I6" i="201"/>
  <c r="M6" i="201"/>
  <c r="V6" i="201"/>
  <c r="W6" i="201"/>
  <c r="I7" i="201"/>
  <c r="M7" i="201"/>
  <c r="V7" i="201"/>
  <c r="W7" i="201"/>
  <c r="I8" i="201"/>
  <c r="M8" i="201"/>
  <c r="V8" i="201"/>
  <c r="W8" i="201"/>
  <c r="I9" i="201"/>
  <c r="M9" i="201"/>
  <c r="V9" i="201"/>
  <c r="W9" i="201"/>
  <c r="I10" i="201"/>
  <c r="M10" i="201"/>
  <c r="V10" i="201"/>
  <c r="W10" i="201"/>
  <c r="E11" i="201"/>
  <c r="I11" i="201"/>
  <c r="M11" i="201"/>
  <c r="V11" i="201"/>
  <c r="W11" i="201"/>
  <c r="E12" i="201"/>
  <c r="E26" i="201" s="1"/>
  <c r="E27" i="201" s="1"/>
  <c r="F27" i="201" s="1"/>
  <c r="I12" i="201"/>
  <c r="M12" i="201"/>
  <c r="V12" i="201"/>
  <c r="W12" i="201"/>
  <c r="E13" i="201"/>
  <c r="E14" i="201"/>
  <c r="E15" i="201"/>
  <c r="E16" i="201"/>
  <c r="E17" i="201"/>
  <c r="E18" i="201"/>
  <c r="E19" i="201"/>
  <c r="E20" i="201"/>
  <c r="E21" i="201"/>
  <c r="E22" i="201"/>
  <c r="E23" i="201"/>
  <c r="E24" i="201"/>
  <c r="E25" i="201"/>
  <c r="C27" i="201"/>
  <c r="G33" i="201"/>
  <c r="N4" i="201" s="1"/>
  <c r="F36" i="201"/>
  <c r="F24" i="201" l="1"/>
  <c r="F16" i="201"/>
  <c r="N8" i="201"/>
  <c r="F11" i="201"/>
  <c r="N5" i="201"/>
  <c r="F20" i="201"/>
  <c r="N10" i="201"/>
  <c r="N6" i="201"/>
  <c r="U6" i="201" s="1"/>
  <c r="X6" i="201" s="1"/>
  <c r="Y6" i="201" s="1"/>
  <c r="Z6" i="201" s="1"/>
  <c r="Q6" i="201" s="1"/>
  <c r="F22" i="201"/>
  <c r="F18" i="201"/>
  <c r="F14" i="201"/>
  <c r="G12" i="203"/>
  <c r="G13" i="203" s="1"/>
  <c r="G14" i="203" s="1"/>
  <c r="G15" i="203" s="1"/>
  <c r="G16" i="203" s="1"/>
  <c r="G17" i="203" s="1"/>
  <c r="G18" i="203" s="1"/>
  <c r="G19" i="203" s="1"/>
  <c r="G20" i="203" s="1"/>
  <c r="G21" i="203" s="1"/>
  <c r="G22" i="203" s="1"/>
  <c r="G23" i="203" s="1"/>
  <c r="G24" i="203" s="1"/>
  <c r="F26" i="203"/>
  <c r="P7" i="202"/>
  <c r="R7" i="202" s="1"/>
  <c r="U7" i="202"/>
  <c r="X7" i="202" s="1"/>
  <c r="Y7" i="202" s="1"/>
  <c r="Z7" i="202" s="1"/>
  <c r="Q7" i="202" s="1"/>
  <c r="P11" i="202"/>
  <c r="R11" i="202" s="1"/>
  <c r="U11" i="202"/>
  <c r="X11" i="202" s="1"/>
  <c r="Y11" i="202" s="1"/>
  <c r="Z11" i="202" s="1"/>
  <c r="Q11" i="202" s="1"/>
  <c r="P12" i="202"/>
  <c r="R12" i="202" s="1"/>
  <c r="U12" i="202"/>
  <c r="X12" i="202" s="1"/>
  <c r="Y12" i="202" s="1"/>
  <c r="Z12" i="202" s="1"/>
  <c r="Q12" i="202" s="1"/>
  <c r="G12" i="202"/>
  <c r="G13" i="202" s="1"/>
  <c r="G14" i="202" s="1"/>
  <c r="G15" i="202" s="1"/>
  <c r="G16" i="202" s="1"/>
  <c r="G17" i="202" s="1"/>
  <c r="G18" i="202" s="1"/>
  <c r="G19" i="202" s="1"/>
  <c r="G20" i="202" s="1"/>
  <c r="G21" i="202" s="1"/>
  <c r="G22" i="202" s="1"/>
  <c r="G23" i="202" s="1"/>
  <c r="G24" i="202" s="1"/>
  <c r="F26" i="202"/>
  <c r="P9" i="202"/>
  <c r="R9" i="202" s="1"/>
  <c r="U9" i="202"/>
  <c r="X9" i="202" s="1"/>
  <c r="Y9" i="202" s="1"/>
  <c r="Z9" i="202" s="1"/>
  <c r="Q9" i="202" s="1"/>
  <c r="P5" i="201"/>
  <c r="R5" i="201" s="1"/>
  <c r="U5" i="201"/>
  <c r="X5" i="201" s="1"/>
  <c r="Y5" i="201" s="1"/>
  <c r="Z5" i="201" s="1"/>
  <c r="Q5" i="201" s="1"/>
  <c r="P4" i="201"/>
  <c r="U4" i="201"/>
  <c r="X4" i="201" s="1"/>
  <c r="Y4" i="201" s="1"/>
  <c r="Z4" i="201" s="1"/>
  <c r="Q4" i="201" s="1"/>
  <c r="P10" i="201"/>
  <c r="R10" i="201" s="1"/>
  <c r="U10" i="201"/>
  <c r="X10" i="201" s="1"/>
  <c r="Y10" i="201" s="1"/>
  <c r="Z10" i="201" s="1"/>
  <c r="P8" i="201"/>
  <c r="U8" i="201"/>
  <c r="X8" i="201" s="1"/>
  <c r="Y8" i="201" s="1"/>
  <c r="Z8" i="201" s="1"/>
  <c r="P6" i="201"/>
  <c r="R6" i="201" s="1"/>
  <c r="R4" i="201"/>
  <c r="Q10" i="201"/>
  <c r="Q8" i="201"/>
  <c r="F25" i="201"/>
  <c r="F23" i="201"/>
  <c r="F21" i="201"/>
  <c r="F19" i="201"/>
  <c r="F17" i="201"/>
  <c r="F15" i="201"/>
  <c r="F13" i="201"/>
  <c r="N12" i="201"/>
  <c r="F12" i="201"/>
  <c r="N11" i="201"/>
  <c r="N9" i="201"/>
  <c r="R8" i="201"/>
  <c r="N7" i="201"/>
  <c r="I4" i="200"/>
  <c r="M4" i="200"/>
  <c r="V4" i="200"/>
  <c r="W4" i="200"/>
  <c r="I5" i="200"/>
  <c r="M5" i="200"/>
  <c r="N5" i="200" s="1"/>
  <c r="V5" i="200"/>
  <c r="W5" i="200"/>
  <c r="AE5" i="200"/>
  <c r="I6" i="200"/>
  <c r="M6" i="200"/>
  <c r="V6" i="200"/>
  <c r="W6" i="200"/>
  <c r="I7" i="200"/>
  <c r="M7" i="200"/>
  <c r="V7" i="200"/>
  <c r="W7" i="200"/>
  <c r="I8" i="200"/>
  <c r="M8" i="200"/>
  <c r="V8" i="200"/>
  <c r="W8" i="200"/>
  <c r="I9" i="200"/>
  <c r="M9" i="200"/>
  <c r="V9" i="200"/>
  <c r="W9" i="200"/>
  <c r="I10" i="200"/>
  <c r="M10" i="200"/>
  <c r="V10" i="200"/>
  <c r="W10" i="200"/>
  <c r="E11" i="200"/>
  <c r="I11" i="200"/>
  <c r="M11" i="200"/>
  <c r="V11" i="200"/>
  <c r="W11" i="200"/>
  <c r="E12" i="200"/>
  <c r="I12" i="200"/>
  <c r="M12" i="200"/>
  <c r="N12" i="200" s="1"/>
  <c r="V12" i="200"/>
  <c r="W12" i="200"/>
  <c r="E13" i="200"/>
  <c r="E14" i="200"/>
  <c r="E15" i="200"/>
  <c r="E26" i="200" s="1"/>
  <c r="E27" i="200" s="1"/>
  <c r="F27" i="200" s="1"/>
  <c r="E16" i="200"/>
  <c r="E17" i="200"/>
  <c r="E18" i="200"/>
  <c r="E19" i="200"/>
  <c r="E20" i="200"/>
  <c r="E21" i="200"/>
  <c r="E22" i="200"/>
  <c r="E23" i="200"/>
  <c r="E24" i="200"/>
  <c r="E25" i="200"/>
  <c r="C27" i="200"/>
  <c r="G33" i="200"/>
  <c r="F36" i="200"/>
  <c r="F22" i="200" l="1"/>
  <c r="F14" i="200"/>
  <c r="F25" i="200"/>
  <c r="F11" i="200"/>
  <c r="F18" i="200"/>
  <c r="N4" i="200"/>
  <c r="F24" i="200"/>
  <c r="F20" i="200"/>
  <c r="F16" i="200"/>
  <c r="N10" i="200"/>
  <c r="N8" i="200"/>
  <c r="N6" i="200"/>
  <c r="P6" i="200" s="1"/>
  <c r="R6" i="200" s="1"/>
  <c r="S5" i="203"/>
  <c r="S6" i="203"/>
  <c r="S8" i="203"/>
  <c r="S10" i="203"/>
  <c r="G25" i="203"/>
  <c r="F31" i="203"/>
  <c r="S4" i="203"/>
  <c r="S7" i="203"/>
  <c r="S9" i="203"/>
  <c r="S11" i="203"/>
  <c r="S12" i="203"/>
  <c r="S5" i="202"/>
  <c r="S6" i="202"/>
  <c r="S8" i="202"/>
  <c r="S10" i="202"/>
  <c r="G25" i="202"/>
  <c r="S4" i="202"/>
  <c r="S7" i="202"/>
  <c r="S9" i="202"/>
  <c r="S11" i="202"/>
  <c r="S12" i="202"/>
  <c r="F31" i="202"/>
  <c r="G12" i="201"/>
  <c r="G13" i="201" s="1"/>
  <c r="G14" i="201" s="1"/>
  <c r="G15" i="201" s="1"/>
  <c r="G16" i="201" s="1"/>
  <c r="G17" i="201" s="1"/>
  <c r="G18" i="201" s="1"/>
  <c r="G19" i="201" s="1"/>
  <c r="G20" i="201" s="1"/>
  <c r="G21" i="201" s="1"/>
  <c r="G22" i="201" s="1"/>
  <c r="G23" i="201" s="1"/>
  <c r="G24" i="201" s="1"/>
  <c r="F26" i="201"/>
  <c r="P7" i="201"/>
  <c r="R7" i="201" s="1"/>
  <c r="U7" i="201"/>
  <c r="X7" i="201" s="1"/>
  <c r="Y7" i="201" s="1"/>
  <c r="Z7" i="201" s="1"/>
  <c r="Q7" i="201" s="1"/>
  <c r="P9" i="201"/>
  <c r="R9" i="201" s="1"/>
  <c r="U9" i="201"/>
  <c r="X9" i="201" s="1"/>
  <c r="Y9" i="201" s="1"/>
  <c r="Z9" i="201" s="1"/>
  <c r="Q9" i="201" s="1"/>
  <c r="P11" i="201"/>
  <c r="R11" i="201" s="1"/>
  <c r="U11" i="201"/>
  <c r="X11" i="201" s="1"/>
  <c r="Y11" i="201" s="1"/>
  <c r="Z11" i="201" s="1"/>
  <c r="Q11" i="201" s="1"/>
  <c r="P12" i="201"/>
  <c r="R12" i="201" s="1"/>
  <c r="U12" i="201"/>
  <c r="X12" i="201" s="1"/>
  <c r="Y12" i="201" s="1"/>
  <c r="Z12" i="201" s="1"/>
  <c r="Q12" i="201" s="1"/>
  <c r="P12" i="200"/>
  <c r="U12" i="200"/>
  <c r="X12" i="200" s="1"/>
  <c r="Y12" i="200" s="1"/>
  <c r="Z12" i="200" s="1"/>
  <c r="P10" i="200"/>
  <c r="U10" i="200"/>
  <c r="X10" i="200" s="1"/>
  <c r="Y10" i="200" s="1"/>
  <c r="Z10" i="200" s="1"/>
  <c r="P8" i="200"/>
  <c r="U8" i="200"/>
  <c r="X8" i="200" s="1"/>
  <c r="Y8" i="200" s="1"/>
  <c r="Z8" i="200" s="1"/>
  <c r="Q8" i="200" s="1"/>
  <c r="U6" i="200"/>
  <c r="X6" i="200" s="1"/>
  <c r="Y6" i="200" s="1"/>
  <c r="Z6" i="200" s="1"/>
  <c r="Q6" i="200" s="1"/>
  <c r="P4" i="200"/>
  <c r="U4" i="200"/>
  <c r="X4" i="200" s="1"/>
  <c r="Y4" i="200" s="1"/>
  <c r="Z4" i="200" s="1"/>
  <c r="Q4" i="200" s="1"/>
  <c r="P5" i="200"/>
  <c r="U5" i="200"/>
  <c r="X5" i="200" s="1"/>
  <c r="Y5" i="200" s="1"/>
  <c r="Z5" i="200" s="1"/>
  <c r="Q5" i="200" s="1"/>
  <c r="R4" i="200"/>
  <c r="Q12" i="200"/>
  <c r="Q10" i="200"/>
  <c r="F23" i="200"/>
  <c r="F21" i="200"/>
  <c r="F19" i="200"/>
  <c r="F17" i="200"/>
  <c r="F15" i="200"/>
  <c r="F13" i="200"/>
  <c r="F12" i="200"/>
  <c r="N11" i="200"/>
  <c r="R10" i="200"/>
  <c r="N9" i="200"/>
  <c r="R8" i="200"/>
  <c r="N7" i="200"/>
  <c r="R5" i="200"/>
  <c r="R12" i="200"/>
  <c r="I4" i="199"/>
  <c r="M4" i="199"/>
  <c r="V4" i="199"/>
  <c r="W4" i="199"/>
  <c r="I5" i="199"/>
  <c r="M5" i="199"/>
  <c r="V5" i="199"/>
  <c r="W5" i="199"/>
  <c r="AE5" i="199"/>
  <c r="I6" i="199"/>
  <c r="M6" i="199"/>
  <c r="V6" i="199"/>
  <c r="W6" i="199"/>
  <c r="I7" i="199"/>
  <c r="M7" i="199"/>
  <c r="V7" i="199"/>
  <c r="W7" i="199"/>
  <c r="I8" i="199"/>
  <c r="M8" i="199"/>
  <c r="V8" i="199"/>
  <c r="W8" i="199"/>
  <c r="I9" i="199"/>
  <c r="M9" i="199"/>
  <c r="V9" i="199"/>
  <c r="W9" i="199"/>
  <c r="I10" i="199"/>
  <c r="M10" i="199"/>
  <c r="V10" i="199"/>
  <c r="W10" i="199"/>
  <c r="E11" i="199"/>
  <c r="I11" i="199"/>
  <c r="M11" i="199"/>
  <c r="V11" i="199"/>
  <c r="W11" i="199"/>
  <c r="E12" i="199"/>
  <c r="E26" i="199" s="1"/>
  <c r="E27" i="199" s="1"/>
  <c r="F27" i="199" s="1"/>
  <c r="I12" i="199"/>
  <c r="M12" i="199"/>
  <c r="V12" i="199"/>
  <c r="W12" i="199"/>
  <c r="E13" i="199"/>
  <c r="E14" i="199"/>
  <c r="E15" i="199"/>
  <c r="E16" i="199"/>
  <c r="E17" i="199"/>
  <c r="E18" i="199"/>
  <c r="E19" i="199"/>
  <c r="E20" i="199"/>
  <c r="E21" i="199"/>
  <c r="E22" i="199"/>
  <c r="E23" i="199"/>
  <c r="E24" i="199"/>
  <c r="E25" i="199"/>
  <c r="C27" i="199"/>
  <c r="G33" i="199"/>
  <c r="N4" i="199" s="1"/>
  <c r="F36" i="199"/>
  <c r="F20" i="199" l="1"/>
  <c r="N8" i="199"/>
  <c r="F11" i="199"/>
  <c r="N5" i="199"/>
  <c r="P5" i="199" s="1"/>
  <c r="R5" i="199" s="1"/>
  <c r="F16" i="199"/>
  <c r="F18" i="199"/>
  <c r="F14" i="199"/>
  <c r="F24" i="199"/>
  <c r="N10" i="199"/>
  <c r="N6" i="199"/>
  <c r="F22" i="199"/>
  <c r="S5" i="201"/>
  <c r="S6" i="201"/>
  <c r="S8" i="201"/>
  <c r="S10" i="201"/>
  <c r="G25" i="201"/>
  <c r="S4" i="201"/>
  <c r="S7" i="201"/>
  <c r="S9" i="201"/>
  <c r="S11" i="201"/>
  <c r="S12" i="201"/>
  <c r="F31" i="201"/>
  <c r="P7" i="200"/>
  <c r="R7" i="200" s="1"/>
  <c r="U7" i="200"/>
  <c r="X7" i="200" s="1"/>
  <c r="Y7" i="200" s="1"/>
  <c r="Z7" i="200" s="1"/>
  <c r="Q7" i="200" s="1"/>
  <c r="P9" i="200"/>
  <c r="R9" i="200" s="1"/>
  <c r="U9" i="200"/>
  <c r="X9" i="200" s="1"/>
  <c r="Y9" i="200" s="1"/>
  <c r="Z9" i="200" s="1"/>
  <c r="Q9" i="200" s="1"/>
  <c r="P11" i="200"/>
  <c r="R11" i="200" s="1"/>
  <c r="U11" i="200"/>
  <c r="X11" i="200" s="1"/>
  <c r="Y11" i="200" s="1"/>
  <c r="Z11" i="200" s="1"/>
  <c r="Q11" i="200" s="1"/>
  <c r="G12" i="200"/>
  <c r="G13" i="200" s="1"/>
  <c r="G14" i="200" s="1"/>
  <c r="G15" i="200" s="1"/>
  <c r="G16" i="200" s="1"/>
  <c r="G17" i="200" s="1"/>
  <c r="G18" i="200" s="1"/>
  <c r="G19" i="200" s="1"/>
  <c r="G20" i="200" s="1"/>
  <c r="G21" i="200" s="1"/>
  <c r="G22" i="200" s="1"/>
  <c r="G23" i="200" s="1"/>
  <c r="G24" i="200" s="1"/>
  <c r="F26" i="200"/>
  <c r="U5" i="199"/>
  <c r="X5" i="199" s="1"/>
  <c r="Y5" i="199" s="1"/>
  <c r="Z5" i="199" s="1"/>
  <c r="Q5" i="199" s="1"/>
  <c r="P4" i="199"/>
  <c r="U4" i="199"/>
  <c r="X4" i="199" s="1"/>
  <c r="Y4" i="199" s="1"/>
  <c r="Z4" i="199" s="1"/>
  <c r="Q4" i="199" s="1"/>
  <c r="P10" i="199"/>
  <c r="U10" i="199"/>
  <c r="X10" i="199" s="1"/>
  <c r="Y10" i="199" s="1"/>
  <c r="Z10" i="199" s="1"/>
  <c r="Q10" i="199" s="1"/>
  <c r="P8" i="199"/>
  <c r="U8" i="199"/>
  <c r="X8" i="199" s="1"/>
  <c r="Y8" i="199" s="1"/>
  <c r="Z8" i="199" s="1"/>
  <c r="Q8" i="199" s="1"/>
  <c r="P6" i="199"/>
  <c r="U6" i="199"/>
  <c r="X6" i="199" s="1"/>
  <c r="Y6" i="199" s="1"/>
  <c r="Z6" i="199" s="1"/>
  <c r="Q6" i="199" s="1"/>
  <c r="R4" i="199"/>
  <c r="F25" i="199"/>
  <c r="F21" i="199"/>
  <c r="F17" i="199"/>
  <c r="F15" i="199"/>
  <c r="F13" i="199"/>
  <c r="N12" i="199"/>
  <c r="F12" i="199"/>
  <c r="N11" i="199"/>
  <c r="R10" i="199"/>
  <c r="N9" i="199"/>
  <c r="R8" i="199"/>
  <c r="N7" i="199"/>
  <c r="R6" i="199"/>
  <c r="F23" i="199"/>
  <c r="F19" i="199"/>
  <c r="I4" i="198"/>
  <c r="M4" i="198"/>
  <c r="V4" i="198"/>
  <c r="W4" i="198"/>
  <c r="I5" i="198"/>
  <c r="M5" i="198"/>
  <c r="V5" i="198"/>
  <c r="W5" i="198"/>
  <c r="AE5" i="198"/>
  <c r="I6" i="198"/>
  <c r="M6" i="198"/>
  <c r="V6" i="198"/>
  <c r="W6" i="198"/>
  <c r="I7" i="198"/>
  <c r="M7" i="198"/>
  <c r="V7" i="198"/>
  <c r="W7" i="198"/>
  <c r="I8" i="198"/>
  <c r="M8" i="198"/>
  <c r="V8" i="198"/>
  <c r="W8" i="198"/>
  <c r="I9" i="198"/>
  <c r="M9" i="198"/>
  <c r="V9" i="198"/>
  <c r="W9" i="198"/>
  <c r="I10" i="198"/>
  <c r="M10" i="198"/>
  <c r="V10" i="198"/>
  <c r="W10" i="198"/>
  <c r="E11" i="198"/>
  <c r="I11" i="198"/>
  <c r="M11" i="198"/>
  <c r="V11" i="198"/>
  <c r="W11" i="198"/>
  <c r="E12" i="198"/>
  <c r="E26" i="198" s="1"/>
  <c r="E27" i="198" s="1"/>
  <c r="F27" i="198" s="1"/>
  <c r="I12" i="198"/>
  <c r="M12" i="198"/>
  <c r="V12" i="198"/>
  <c r="W12" i="198"/>
  <c r="E13" i="198"/>
  <c r="E14" i="198"/>
  <c r="E15" i="198"/>
  <c r="E16" i="198"/>
  <c r="E17" i="198"/>
  <c r="E18" i="198"/>
  <c r="E19" i="198"/>
  <c r="E20" i="198"/>
  <c r="E21" i="198"/>
  <c r="E22" i="198"/>
  <c r="E23" i="198"/>
  <c r="E24" i="198"/>
  <c r="E25" i="198"/>
  <c r="C27" i="198"/>
  <c r="G33" i="198"/>
  <c r="N4" i="198" s="1"/>
  <c r="F36" i="198"/>
  <c r="N8" i="198" l="1"/>
  <c r="F11" i="198"/>
  <c r="N5" i="198"/>
  <c r="F16" i="198"/>
  <c r="N10" i="198"/>
  <c r="F18" i="198"/>
  <c r="F14" i="198"/>
  <c r="F24" i="198"/>
  <c r="F20" i="198"/>
  <c r="N6" i="198"/>
  <c r="F22" i="198"/>
  <c r="S5" i="200"/>
  <c r="S6" i="200"/>
  <c r="S8" i="200"/>
  <c r="S10" i="200"/>
  <c r="G25" i="200"/>
  <c r="S4" i="200"/>
  <c r="S7" i="200"/>
  <c r="S9" i="200"/>
  <c r="S11" i="200"/>
  <c r="S12" i="200"/>
  <c r="F31" i="200"/>
  <c r="G12" i="199"/>
  <c r="G13" i="199" s="1"/>
  <c r="G14" i="199" s="1"/>
  <c r="G15" i="199" s="1"/>
  <c r="G16" i="199" s="1"/>
  <c r="G17" i="199" s="1"/>
  <c r="G18" i="199" s="1"/>
  <c r="G19" i="199" s="1"/>
  <c r="G20" i="199" s="1"/>
  <c r="G21" i="199" s="1"/>
  <c r="G22" i="199" s="1"/>
  <c r="G23" i="199" s="1"/>
  <c r="G24" i="199" s="1"/>
  <c r="F26" i="199"/>
  <c r="P7" i="199"/>
  <c r="R7" i="199" s="1"/>
  <c r="U7" i="199"/>
  <c r="X7" i="199" s="1"/>
  <c r="Y7" i="199" s="1"/>
  <c r="Z7" i="199" s="1"/>
  <c r="Q7" i="199" s="1"/>
  <c r="P9" i="199"/>
  <c r="R9" i="199" s="1"/>
  <c r="U9" i="199"/>
  <c r="X9" i="199" s="1"/>
  <c r="Y9" i="199" s="1"/>
  <c r="Z9" i="199" s="1"/>
  <c r="Q9" i="199" s="1"/>
  <c r="P11" i="199"/>
  <c r="R11" i="199" s="1"/>
  <c r="U11" i="199"/>
  <c r="X11" i="199" s="1"/>
  <c r="Y11" i="199" s="1"/>
  <c r="Z11" i="199" s="1"/>
  <c r="Q11" i="199" s="1"/>
  <c r="P12" i="199"/>
  <c r="R12" i="199" s="1"/>
  <c r="U12" i="199"/>
  <c r="X12" i="199" s="1"/>
  <c r="Y12" i="199" s="1"/>
  <c r="Z12" i="199" s="1"/>
  <c r="Q12" i="199" s="1"/>
  <c r="P5" i="198"/>
  <c r="U5" i="198"/>
  <c r="X5" i="198" s="1"/>
  <c r="Y5" i="198" s="1"/>
  <c r="Z5" i="198" s="1"/>
  <c r="Q5" i="198" s="1"/>
  <c r="P4" i="198"/>
  <c r="U4" i="198"/>
  <c r="X4" i="198" s="1"/>
  <c r="Y4" i="198" s="1"/>
  <c r="Z4" i="198" s="1"/>
  <c r="Q4" i="198" s="1"/>
  <c r="P10" i="198"/>
  <c r="U10" i="198"/>
  <c r="X10" i="198" s="1"/>
  <c r="Y10" i="198" s="1"/>
  <c r="Z10" i="198" s="1"/>
  <c r="P8" i="198"/>
  <c r="U8" i="198"/>
  <c r="X8" i="198" s="1"/>
  <c r="Y8" i="198" s="1"/>
  <c r="Z8" i="198" s="1"/>
  <c r="Q8" i="198" s="1"/>
  <c r="P6" i="198"/>
  <c r="U6" i="198"/>
  <c r="X6" i="198" s="1"/>
  <c r="Y6" i="198" s="1"/>
  <c r="Z6" i="198" s="1"/>
  <c r="R4" i="198"/>
  <c r="Q10" i="198"/>
  <c r="Q6" i="198"/>
  <c r="F25" i="198"/>
  <c r="F23" i="198"/>
  <c r="F21" i="198"/>
  <c r="F19" i="198"/>
  <c r="F17" i="198"/>
  <c r="F15" i="198"/>
  <c r="F13" i="198"/>
  <c r="N12" i="198"/>
  <c r="F12" i="198"/>
  <c r="N11" i="198"/>
  <c r="R10" i="198"/>
  <c r="N9" i="198"/>
  <c r="R8" i="198"/>
  <c r="N7" i="198"/>
  <c r="R6" i="198"/>
  <c r="R5" i="198"/>
  <c r="I4" i="197"/>
  <c r="M4" i="197"/>
  <c r="V4" i="197"/>
  <c r="W4" i="197"/>
  <c r="I5" i="197"/>
  <c r="M5" i="197"/>
  <c r="V5" i="197"/>
  <c r="W5" i="197"/>
  <c r="AE5" i="197"/>
  <c r="I6" i="197"/>
  <c r="M6" i="197"/>
  <c r="V6" i="197"/>
  <c r="W6" i="197"/>
  <c r="I7" i="197"/>
  <c r="M7" i="197"/>
  <c r="V7" i="197"/>
  <c r="W7" i="197"/>
  <c r="I8" i="197"/>
  <c r="M8" i="197"/>
  <c r="V8" i="197"/>
  <c r="W8" i="197"/>
  <c r="I9" i="197"/>
  <c r="M9" i="197"/>
  <c r="V9" i="197"/>
  <c r="W9" i="197"/>
  <c r="I10" i="197"/>
  <c r="M10" i="197"/>
  <c r="V10" i="197"/>
  <c r="W10" i="197"/>
  <c r="E11" i="197"/>
  <c r="I11" i="197"/>
  <c r="M11" i="197"/>
  <c r="V11" i="197"/>
  <c r="W11" i="197"/>
  <c r="E12" i="197"/>
  <c r="I12" i="197"/>
  <c r="M12" i="197"/>
  <c r="V12" i="197"/>
  <c r="W12" i="197"/>
  <c r="E13" i="197"/>
  <c r="E14" i="197"/>
  <c r="E15" i="197"/>
  <c r="E16" i="197"/>
  <c r="E17" i="197"/>
  <c r="E18" i="197"/>
  <c r="E19" i="197"/>
  <c r="E20" i="197"/>
  <c r="E21" i="197"/>
  <c r="E22" i="197"/>
  <c r="E23" i="197"/>
  <c r="E24" i="197"/>
  <c r="E25" i="197"/>
  <c r="E26" i="197"/>
  <c r="E27" i="197" s="1"/>
  <c r="F27" i="197" s="1"/>
  <c r="C27" i="197"/>
  <c r="G33" i="197"/>
  <c r="N4" i="197" s="1"/>
  <c r="F36" i="197"/>
  <c r="F22" i="197" l="1"/>
  <c r="F14" i="197"/>
  <c r="F20" i="197"/>
  <c r="N10" i="197"/>
  <c r="P10" i="197" s="1"/>
  <c r="R10" i="197" s="1"/>
  <c r="N6" i="197"/>
  <c r="F18" i="197"/>
  <c r="F24" i="197"/>
  <c r="F16" i="197"/>
  <c r="N8" i="197"/>
  <c r="F11" i="197"/>
  <c r="N5" i="197"/>
  <c r="S5" i="199"/>
  <c r="S6" i="199"/>
  <c r="S8" i="199"/>
  <c r="S10" i="199"/>
  <c r="G25" i="199"/>
  <c r="S4" i="199"/>
  <c r="S7" i="199"/>
  <c r="S9" i="199"/>
  <c r="S11" i="199"/>
  <c r="S12" i="199"/>
  <c r="F31" i="199"/>
  <c r="G12" i="198"/>
  <c r="G13" i="198" s="1"/>
  <c r="G14" i="198" s="1"/>
  <c r="G15" i="198" s="1"/>
  <c r="G16" i="198" s="1"/>
  <c r="G17" i="198" s="1"/>
  <c r="G18" i="198" s="1"/>
  <c r="G19" i="198" s="1"/>
  <c r="G20" i="198" s="1"/>
  <c r="G21" i="198" s="1"/>
  <c r="G22" i="198" s="1"/>
  <c r="G23" i="198" s="1"/>
  <c r="G24" i="198" s="1"/>
  <c r="F26" i="198"/>
  <c r="P7" i="198"/>
  <c r="R7" i="198" s="1"/>
  <c r="U7" i="198"/>
  <c r="X7" i="198" s="1"/>
  <c r="Y7" i="198" s="1"/>
  <c r="Z7" i="198" s="1"/>
  <c r="Q7" i="198" s="1"/>
  <c r="P9" i="198"/>
  <c r="R9" i="198" s="1"/>
  <c r="U9" i="198"/>
  <c r="X9" i="198" s="1"/>
  <c r="Y9" i="198" s="1"/>
  <c r="Z9" i="198" s="1"/>
  <c r="Q9" i="198" s="1"/>
  <c r="P11" i="198"/>
  <c r="R11" i="198" s="1"/>
  <c r="U11" i="198"/>
  <c r="X11" i="198" s="1"/>
  <c r="Y11" i="198" s="1"/>
  <c r="Z11" i="198" s="1"/>
  <c r="Q11" i="198" s="1"/>
  <c r="P12" i="198"/>
  <c r="R12" i="198" s="1"/>
  <c r="U12" i="198"/>
  <c r="X12" i="198" s="1"/>
  <c r="Y12" i="198" s="1"/>
  <c r="Z12" i="198" s="1"/>
  <c r="Q12" i="198" s="1"/>
  <c r="P5" i="197"/>
  <c r="U5" i="197"/>
  <c r="X5" i="197" s="1"/>
  <c r="Y5" i="197" s="1"/>
  <c r="Z5" i="197" s="1"/>
  <c r="Q5" i="197" s="1"/>
  <c r="P4" i="197"/>
  <c r="U4" i="197"/>
  <c r="X4" i="197" s="1"/>
  <c r="Y4" i="197" s="1"/>
  <c r="Z4" i="197" s="1"/>
  <c r="Q4" i="197" s="1"/>
  <c r="P8" i="197"/>
  <c r="U8" i="197"/>
  <c r="X8" i="197" s="1"/>
  <c r="Y8" i="197" s="1"/>
  <c r="Z8" i="197" s="1"/>
  <c r="Q8" i="197" s="1"/>
  <c r="P6" i="197"/>
  <c r="U6" i="197"/>
  <c r="X6" i="197" s="1"/>
  <c r="Y6" i="197" s="1"/>
  <c r="Z6" i="197" s="1"/>
  <c r="R4" i="197"/>
  <c r="Q6" i="197"/>
  <c r="F23" i="197"/>
  <c r="F19" i="197"/>
  <c r="F17" i="197"/>
  <c r="F15" i="197"/>
  <c r="F13" i="197"/>
  <c r="N12" i="197"/>
  <c r="F12" i="197"/>
  <c r="N11" i="197"/>
  <c r="N9" i="197"/>
  <c r="R8" i="197"/>
  <c r="N7" i="197"/>
  <c r="R6" i="197"/>
  <c r="R5" i="197"/>
  <c r="F25" i="197"/>
  <c r="F21" i="197"/>
  <c r="I4" i="196"/>
  <c r="M4" i="196"/>
  <c r="V4" i="196"/>
  <c r="W4" i="196"/>
  <c r="I5" i="196"/>
  <c r="M5" i="196"/>
  <c r="V5" i="196"/>
  <c r="W5" i="196"/>
  <c r="AE5" i="196"/>
  <c r="I6" i="196"/>
  <c r="M6" i="196"/>
  <c r="V6" i="196"/>
  <c r="W6" i="196"/>
  <c r="I7" i="196"/>
  <c r="M7" i="196"/>
  <c r="V7" i="196"/>
  <c r="W7" i="196"/>
  <c r="I8" i="196"/>
  <c r="M8" i="196"/>
  <c r="V8" i="196"/>
  <c r="W8" i="196"/>
  <c r="I9" i="196"/>
  <c r="M9" i="196"/>
  <c r="V9" i="196"/>
  <c r="W9" i="196"/>
  <c r="I10" i="196"/>
  <c r="M10" i="196"/>
  <c r="V10" i="196"/>
  <c r="W10" i="196"/>
  <c r="E11" i="196"/>
  <c r="I11" i="196"/>
  <c r="M11" i="196"/>
  <c r="V11" i="196"/>
  <c r="W11" i="196"/>
  <c r="E12" i="196"/>
  <c r="I12" i="196"/>
  <c r="M12" i="196"/>
  <c r="V12" i="196"/>
  <c r="W12" i="196"/>
  <c r="E13" i="196"/>
  <c r="E14" i="196"/>
  <c r="E15" i="196"/>
  <c r="E16" i="196"/>
  <c r="E17" i="196"/>
  <c r="E18" i="196"/>
  <c r="E19" i="196"/>
  <c r="E20" i="196"/>
  <c r="E21" i="196"/>
  <c r="E22" i="196"/>
  <c r="E23" i="196"/>
  <c r="E24" i="196"/>
  <c r="E25" i="196"/>
  <c r="E26" i="196"/>
  <c r="E27" i="196" s="1"/>
  <c r="F27" i="196" s="1"/>
  <c r="C27" i="196"/>
  <c r="G33" i="196"/>
  <c r="N4" i="196" s="1"/>
  <c r="F36" i="196"/>
  <c r="F14" i="196" l="1"/>
  <c r="F25" i="196"/>
  <c r="F22" i="196"/>
  <c r="F20" i="196"/>
  <c r="N10" i="196"/>
  <c r="N8" i="196"/>
  <c r="N6" i="196"/>
  <c r="U10" i="197"/>
  <c r="X10" i="197" s="1"/>
  <c r="Y10" i="197" s="1"/>
  <c r="Z10" i="197" s="1"/>
  <c r="Q10" i="197" s="1"/>
  <c r="F18" i="196"/>
  <c r="F24" i="196"/>
  <c r="F16" i="196"/>
  <c r="F11" i="196"/>
  <c r="N5" i="196"/>
  <c r="S5" i="198"/>
  <c r="S6" i="198"/>
  <c r="S8" i="198"/>
  <c r="S10" i="198"/>
  <c r="G25" i="198"/>
  <c r="S4" i="198"/>
  <c r="S7" i="198"/>
  <c r="S9" i="198"/>
  <c r="S11" i="198"/>
  <c r="S12" i="198"/>
  <c r="F31" i="198"/>
  <c r="G12" i="197"/>
  <c r="G13" i="197" s="1"/>
  <c r="G14" i="197" s="1"/>
  <c r="G15" i="197" s="1"/>
  <c r="G16" i="197" s="1"/>
  <c r="G17" i="197" s="1"/>
  <c r="G18" i="197" s="1"/>
  <c r="G19" i="197" s="1"/>
  <c r="G20" i="197" s="1"/>
  <c r="G21" i="197" s="1"/>
  <c r="G22" i="197" s="1"/>
  <c r="G23" i="197" s="1"/>
  <c r="G24" i="197" s="1"/>
  <c r="F26" i="197"/>
  <c r="P7" i="197"/>
  <c r="R7" i="197" s="1"/>
  <c r="U7" i="197"/>
  <c r="X7" i="197" s="1"/>
  <c r="Y7" i="197" s="1"/>
  <c r="Z7" i="197" s="1"/>
  <c r="Q7" i="197" s="1"/>
  <c r="P9" i="197"/>
  <c r="R9" i="197" s="1"/>
  <c r="U9" i="197"/>
  <c r="X9" i="197" s="1"/>
  <c r="Y9" i="197" s="1"/>
  <c r="Z9" i="197" s="1"/>
  <c r="Q9" i="197" s="1"/>
  <c r="P11" i="197"/>
  <c r="R11" i="197" s="1"/>
  <c r="U11" i="197"/>
  <c r="X11" i="197" s="1"/>
  <c r="Y11" i="197" s="1"/>
  <c r="Z11" i="197" s="1"/>
  <c r="Q11" i="197" s="1"/>
  <c r="P12" i="197"/>
  <c r="R12" i="197" s="1"/>
  <c r="U12" i="197"/>
  <c r="X12" i="197" s="1"/>
  <c r="Y12" i="197" s="1"/>
  <c r="Z12" i="197" s="1"/>
  <c r="Q12" i="197" s="1"/>
  <c r="P4" i="196"/>
  <c r="U4" i="196"/>
  <c r="X4" i="196" s="1"/>
  <c r="Y4" i="196" s="1"/>
  <c r="Z4" i="196" s="1"/>
  <c r="Q4" i="196" s="1"/>
  <c r="P10" i="196"/>
  <c r="U10" i="196"/>
  <c r="X10" i="196" s="1"/>
  <c r="Y10" i="196" s="1"/>
  <c r="Z10" i="196" s="1"/>
  <c r="Q10" i="196" s="1"/>
  <c r="P8" i="196"/>
  <c r="U8" i="196"/>
  <c r="X8" i="196" s="1"/>
  <c r="Y8" i="196" s="1"/>
  <c r="Z8" i="196" s="1"/>
  <c r="Q8" i="196" s="1"/>
  <c r="P6" i="196"/>
  <c r="U6" i="196"/>
  <c r="X6" i="196" s="1"/>
  <c r="Y6" i="196" s="1"/>
  <c r="Z6" i="196" s="1"/>
  <c r="Q6" i="196" s="1"/>
  <c r="Q5" i="196"/>
  <c r="P5" i="196"/>
  <c r="U5" i="196"/>
  <c r="X5" i="196" s="1"/>
  <c r="Y5" i="196" s="1"/>
  <c r="Z5" i="196" s="1"/>
  <c r="R4" i="196"/>
  <c r="F23" i="196"/>
  <c r="F21" i="196"/>
  <c r="F19" i="196"/>
  <c r="F17" i="196"/>
  <c r="F15" i="196"/>
  <c r="F13" i="196"/>
  <c r="N12" i="196"/>
  <c r="F12" i="196"/>
  <c r="N11" i="196"/>
  <c r="R10" i="196"/>
  <c r="N9" i="196"/>
  <c r="R8" i="196"/>
  <c r="N7" i="196"/>
  <c r="R6" i="196"/>
  <c r="R5" i="196"/>
  <c r="I4" i="195"/>
  <c r="M4" i="195"/>
  <c r="V4" i="195"/>
  <c r="W4" i="195"/>
  <c r="I5" i="195"/>
  <c r="M5" i="195"/>
  <c r="V5" i="195"/>
  <c r="W5" i="195"/>
  <c r="AE5" i="195"/>
  <c r="I6" i="195"/>
  <c r="M6" i="195"/>
  <c r="V6" i="195"/>
  <c r="W6" i="195"/>
  <c r="I7" i="195"/>
  <c r="M7" i="195"/>
  <c r="V7" i="195"/>
  <c r="W7" i="195"/>
  <c r="I8" i="195"/>
  <c r="M8" i="195"/>
  <c r="V8" i="195"/>
  <c r="W8" i="195"/>
  <c r="I9" i="195"/>
  <c r="M9" i="195"/>
  <c r="V9" i="195"/>
  <c r="W9" i="195"/>
  <c r="I10" i="195"/>
  <c r="M10" i="195"/>
  <c r="V10" i="195"/>
  <c r="W10" i="195"/>
  <c r="E11" i="195"/>
  <c r="I11" i="195"/>
  <c r="M11" i="195"/>
  <c r="V11" i="195"/>
  <c r="W11" i="195"/>
  <c r="E12" i="195"/>
  <c r="I12" i="195"/>
  <c r="M12" i="195"/>
  <c r="V12" i="195"/>
  <c r="W12" i="195"/>
  <c r="E13" i="195"/>
  <c r="E14" i="195"/>
  <c r="E15" i="195"/>
  <c r="E16" i="195"/>
  <c r="E17" i="195"/>
  <c r="E18" i="195"/>
  <c r="E19" i="195"/>
  <c r="E20" i="195"/>
  <c r="E21" i="195"/>
  <c r="E22" i="195"/>
  <c r="E23" i="195"/>
  <c r="E24" i="195"/>
  <c r="E25" i="195"/>
  <c r="E26" i="195"/>
  <c r="E27" i="195" s="1"/>
  <c r="F27" i="195" s="1"/>
  <c r="C27" i="195"/>
  <c r="G33" i="195"/>
  <c r="N4" i="195" s="1"/>
  <c r="F36" i="195"/>
  <c r="F18" i="195" l="1"/>
  <c r="F14" i="195"/>
  <c r="F24" i="195"/>
  <c r="F16" i="195"/>
  <c r="N8" i="195"/>
  <c r="N6" i="195"/>
  <c r="F22" i="195"/>
  <c r="F20" i="195"/>
  <c r="N10" i="195"/>
  <c r="F11" i="195"/>
  <c r="N5" i="195"/>
  <c r="S5" i="197"/>
  <c r="S6" i="197"/>
  <c r="S8" i="197"/>
  <c r="S10" i="197"/>
  <c r="G25" i="197"/>
  <c r="S4" i="197"/>
  <c r="S7" i="197"/>
  <c r="S9" i="197"/>
  <c r="S11" i="197"/>
  <c r="S12" i="197"/>
  <c r="F31" i="197"/>
  <c r="G12" i="196"/>
  <c r="G13" i="196" s="1"/>
  <c r="G14" i="196" s="1"/>
  <c r="G15" i="196" s="1"/>
  <c r="G16" i="196" s="1"/>
  <c r="G17" i="196" s="1"/>
  <c r="G18" i="196" s="1"/>
  <c r="G19" i="196" s="1"/>
  <c r="G20" i="196" s="1"/>
  <c r="G21" i="196" s="1"/>
  <c r="G22" i="196" s="1"/>
  <c r="G23" i="196" s="1"/>
  <c r="G24" i="196" s="1"/>
  <c r="F26" i="196"/>
  <c r="P7" i="196"/>
  <c r="R7" i="196" s="1"/>
  <c r="U7" i="196"/>
  <c r="X7" i="196" s="1"/>
  <c r="Y7" i="196" s="1"/>
  <c r="Z7" i="196" s="1"/>
  <c r="Q7" i="196" s="1"/>
  <c r="P9" i="196"/>
  <c r="R9" i="196" s="1"/>
  <c r="U9" i="196"/>
  <c r="X9" i="196" s="1"/>
  <c r="Y9" i="196" s="1"/>
  <c r="Z9" i="196" s="1"/>
  <c r="Q9" i="196" s="1"/>
  <c r="P11" i="196"/>
  <c r="R11" i="196" s="1"/>
  <c r="U11" i="196"/>
  <c r="X11" i="196" s="1"/>
  <c r="Y11" i="196" s="1"/>
  <c r="Z11" i="196" s="1"/>
  <c r="Q11" i="196" s="1"/>
  <c r="P12" i="196"/>
  <c r="R12" i="196" s="1"/>
  <c r="U12" i="196"/>
  <c r="X12" i="196" s="1"/>
  <c r="Y12" i="196" s="1"/>
  <c r="Z12" i="196" s="1"/>
  <c r="Q12" i="196" s="1"/>
  <c r="P5" i="195"/>
  <c r="U5" i="195"/>
  <c r="X5" i="195" s="1"/>
  <c r="Y5" i="195" s="1"/>
  <c r="Z5" i="195" s="1"/>
  <c r="P4" i="195"/>
  <c r="U4" i="195"/>
  <c r="X4" i="195" s="1"/>
  <c r="Y4" i="195" s="1"/>
  <c r="Z4" i="195" s="1"/>
  <c r="Q4" i="195" s="1"/>
  <c r="P10" i="195"/>
  <c r="U10" i="195"/>
  <c r="X10" i="195" s="1"/>
  <c r="Y10" i="195" s="1"/>
  <c r="Z10" i="195" s="1"/>
  <c r="P8" i="195"/>
  <c r="R8" i="195" s="1"/>
  <c r="U8" i="195"/>
  <c r="X8" i="195" s="1"/>
  <c r="Y8" i="195" s="1"/>
  <c r="Z8" i="195" s="1"/>
  <c r="Q8" i="195" s="1"/>
  <c r="P6" i="195"/>
  <c r="U6" i="195"/>
  <c r="X6" i="195" s="1"/>
  <c r="Y6" i="195" s="1"/>
  <c r="Z6" i="195" s="1"/>
  <c r="R4" i="195"/>
  <c r="Q10" i="195"/>
  <c r="Q6" i="195"/>
  <c r="Q5" i="195"/>
  <c r="F21" i="195"/>
  <c r="F19" i="195"/>
  <c r="F15" i="195"/>
  <c r="F13" i="195"/>
  <c r="N12" i="195"/>
  <c r="F12" i="195"/>
  <c r="N11" i="195"/>
  <c r="R10" i="195"/>
  <c r="N9" i="195"/>
  <c r="N7" i="195"/>
  <c r="R6" i="195"/>
  <c r="R5" i="195"/>
  <c r="F25" i="195"/>
  <c r="F23" i="195"/>
  <c r="F17" i="195"/>
  <c r="I4" i="194"/>
  <c r="M4" i="194"/>
  <c r="V4" i="194"/>
  <c r="W4" i="194"/>
  <c r="I5" i="194"/>
  <c r="M5" i="194"/>
  <c r="V5" i="194"/>
  <c r="W5" i="194"/>
  <c r="AE5" i="194"/>
  <c r="I6" i="194"/>
  <c r="M6" i="194"/>
  <c r="V6" i="194"/>
  <c r="W6" i="194"/>
  <c r="I7" i="194"/>
  <c r="M7" i="194"/>
  <c r="V7" i="194"/>
  <c r="W7" i="194"/>
  <c r="I8" i="194"/>
  <c r="M8" i="194"/>
  <c r="V8" i="194"/>
  <c r="W8" i="194"/>
  <c r="I9" i="194"/>
  <c r="M9" i="194"/>
  <c r="V9" i="194"/>
  <c r="W9" i="194"/>
  <c r="I10" i="194"/>
  <c r="M10" i="194"/>
  <c r="V10" i="194"/>
  <c r="W10" i="194"/>
  <c r="E11" i="194"/>
  <c r="I11" i="194"/>
  <c r="M11" i="194"/>
  <c r="V11" i="194"/>
  <c r="W11" i="194"/>
  <c r="E12" i="194"/>
  <c r="I12" i="194"/>
  <c r="M12" i="194"/>
  <c r="V12" i="194"/>
  <c r="W12" i="194"/>
  <c r="E13" i="194"/>
  <c r="E14" i="194"/>
  <c r="E15" i="194"/>
  <c r="E16" i="194"/>
  <c r="E17" i="194"/>
  <c r="E18" i="194"/>
  <c r="E19" i="194"/>
  <c r="E20" i="194"/>
  <c r="E21" i="194"/>
  <c r="E22" i="194"/>
  <c r="E23" i="194"/>
  <c r="E24" i="194"/>
  <c r="E25" i="194"/>
  <c r="E26" i="194"/>
  <c r="F20" i="194" s="1"/>
  <c r="C27" i="194"/>
  <c r="G33" i="194"/>
  <c r="N5" i="194" s="1"/>
  <c r="F36" i="194"/>
  <c r="F21" i="194" l="1"/>
  <c r="F13" i="194"/>
  <c r="N11" i="194"/>
  <c r="F18" i="194"/>
  <c r="F25" i="194"/>
  <c r="F17" i="194"/>
  <c r="F16" i="194"/>
  <c r="N8" i="194"/>
  <c r="P8" i="194" s="1"/>
  <c r="R8" i="194" s="1"/>
  <c r="N6" i="194"/>
  <c r="F14" i="194"/>
  <c r="N10" i="194"/>
  <c r="F23" i="194"/>
  <c r="F19" i="194"/>
  <c r="F11" i="194"/>
  <c r="N4" i="194"/>
  <c r="S5" i="196"/>
  <c r="S6" i="196"/>
  <c r="S8" i="196"/>
  <c r="S10" i="196"/>
  <c r="G25" i="196"/>
  <c r="S4" i="196"/>
  <c r="S7" i="196"/>
  <c r="S9" i="196"/>
  <c r="S11" i="196"/>
  <c r="S12" i="196"/>
  <c r="F31" i="196"/>
  <c r="P9" i="195"/>
  <c r="R9" i="195" s="1"/>
  <c r="U9" i="195"/>
  <c r="X9" i="195" s="1"/>
  <c r="Y9" i="195" s="1"/>
  <c r="Z9" i="195" s="1"/>
  <c r="Q9" i="195" s="1"/>
  <c r="P11" i="195"/>
  <c r="R11" i="195" s="1"/>
  <c r="U11" i="195"/>
  <c r="X11" i="195" s="1"/>
  <c r="Y11" i="195" s="1"/>
  <c r="Z11" i="195" s="1"/>
  <c r="Q11" i="195" s="1"/>
  <c r="P12" i="195"/>
  <c r="R12" i="195" s="1"/>
  <c r="U12" i="195"/>
  <c r="X12" i="195" s="1"/>
  <c r="Y12" i="195" s="1"/>
  <c r="Z12" i="195" s="1"/>
  <c r="Q12" i="195" s="1"/>
  <c r="G12" i="195"/>
  <c r="G13" i="195" s="1"/>
  <c r="G14" i="195" s="1"/>
  <c r="G15" i="195" s="1"/>
  <c r="G16" i="195" s="1"/>
  <c r="G17" i="195" s="1"/>
  <c r="G18" i="195" s="1"/>
  <c r="G19" i="195" s="1"/>
  <c r="G20" i="195" s="1"/>
  <c r="G21" i="195" s="1"/>
  <c r="G22" i="195" s="1"/>
  <c r="G23" i="195" s="1"/>
  <c r="G24" i="195" s="1"/>
  <c r="F26" i="195"/>
  <c r="P7" i="195"/>
  <c r="R7" i="195" s="1"/>
  <c r="U7" i="195"/>
  <c r="X7" i="195" s="1"/>
  <c r="Y7" i="195" s="1"/>
  <c r="Z7" i="195" s="1"/>
  <c r="Q7" i="195" s="1"/>
  <c r="P11" i="194"/>
  <c r="U11" i="194"/>
  <c r="X11" i="194" s="1"/>
  <c r="Y11" i="194" s="1"/>
  <c r="Z11" i="194" s="1"/>
  <c r="P5" i="194"/>
  <c r="U5" i="194"/>
  <c r="X5" i="194" s="1"/>
  <c r="Y5" i="194" s="1"/>
  <c r="Z5" i="194" s="1"/>
  <c r="Q5" i="194" s="1"/>
  <c r="P10" i="194"/>
  <c r="R10" i="194" s="1"/>
  <c r="U10" i="194"/>
  <c r="X10" i="194" s="1"/>
  <c r="Y10" i="194" s="1"/>
  <c r="Z10" i="194" s="1"/>
  <c r="Q10" i="194" s="1"/>
  <c r="U8" i="194"/>
  <c r="X8" i="194" s="1"/>
  <c r="Y8" i="194" s="1"/>
  <c r="Z8" i="194" s="1"/>
  <c r="Q8" i="194" s="1"/>
  <c r="P6" i="194"/>
  <c r="R6" i="194" s="1"/>
  <c r="U6" i="194"/>
  <c r="X6" i="194" s="1"/>
  <c r="Y6" i="194" s="1"/>
  <c r="Z6" i="194" s="1"/>
  <c r="Q6" i="194" s="1"/>
  <c r="Q11" i="194"/>
  <c r="P4" i="194"/>
  <c r="R4" i="194" s="1"/>
  <c r="U4" i="194"/>
  <c r="X4" i="194" s="1"/>
  <c r="Y4" i="194" s="1"/>
  <c r="Z4" i="194" s="1"/>
  <c r="Q4" i="194" s="1"/>
  <c r="F15" i="194"/>
  <c r="N12" i="194"/>
  <c r="F12" i="194"/>
  <c r="N9" i="194"/>
  <c r="N7" i="194"/>
  <c r="R5" i="194"/>
  <c r="E27" i="194"/>
  <c r="F27" i="194" s="1"/>
  <c r="F24" i="194"/>
  <c r="F22" i="194"/>
  <c r="R11" i="194"/>
  <c r="I4" i="193"/>
  <c r="M4" i="193"/>
  <c r="V4" i="193"/>
  <c r="W4" i="193"/>
  <c r="I5" i="193"/>
  <c r="M5" i="193"/>
  <c r="V5" i="193"/>
  <c r="W5" i="193"/>
  <c r="AE5" i="193"/>
  <c r="I6" i="193"/>
  <c r="M6" i="193"/>
  <c r="V6" i="193"/>
  <c r="W6" i="193"/>
  <c r="I7" i="193"/>
  <c r="M7" i="193"/>
  <c r="V7" i="193"/>
  <c r="W7" i="193"/>
  <c r="I8" i="193"/>
  <c r="M8" i="193"/>
  <c r="V8" i="193"/>
  <c r="W8" i="193"/>
  <c r="I9" i="193"/>
  <c r="M9" i="193"/>
  <c r="V9" i="193"/>
  <c r="W9" i="193"/>
  <c r="I10" i="193"/>
  <c r="M10" i="193"/>
  <c r="V10" i="193"/>
  <c r="W10" i="193"/>
  <c r="E11" i="193"/>
  <c r="I11" i="193"/>
  <c r="M11" i="193"/>
  <c r="V11" i="193"/>
  <c r="W11" i="193"/>
  <c r="E12" i="193"/>
  <c r="I12" i="193"/>
  <c r="M12" i="193"/>
  <c r="V12" i="193"/>
  <c r="W12" i="193"/>
  <c r="E13" i="193"/>
  <c r="E26" i="193" s="1"/>
  <c r="E27" i="193" s="1"/>
  <c r="F27" i="193" s="1"/>
  <c r="E14" i="193"/>
  <c r="E15" i="193"/>
  <c r="E16" i="193"/>
  <c r="E17" i="193"/>
  <c r="E18" i="193"/>
  <c r="E19" i="193"/>
  <c r="E20" i="193"/>
  <c r="E21" i="193"/>
  <c r="E22" i="193"/>
  <c r="E23" i="193"/>
  <c r="E24" i="193"/>
  <c r="E25" i="193"/>
  <c r="C27" i="193"/>
  <c r="G33" i="193"/>
  <c r="N4" i="193" s="1"/>
  <c r="F36" i="193"/>
  <c r="F24" i="193" l="1"/>
  <c r="F20" i="193"/>
  <c r="F16" i="193"/>
  <c r="N10" i="193"/>
  <c r="P10" i="193" s="1"/>
  <c r="R10" i="193" s="1"/>
  <c r="N8" i="193"/>
  <c r="N6" i="193"/>
  <c r="F25" i="193"/>
  <c r="N5" i="193"/>
  <c r="P5" i="193" s="1"/>
  <c r="R5" i="193" s="1"/>
  <c r="F21" i="193"/>
  <c r="F11" i="193"/>
  <c r="F22" i="193"/>
  <c r="F18" i="193"/>
  <c r="F14" i="193"/>
  <c r="S5" i="195"/>
  <c r="S6" i="195"/>
  <c r="S8" i="195"/>
  <c r="S10" i="195"/>
  <c r="G25" i="195"/>
  <c r="S4" i="195"/>
  <c r="S7" i="195"/>
  <c r="S9" i="195"/>
  <c r="S11" i="195"/>
  <c r="S12" i="195"/>
  <c r="F31" i="195"/>
  <c r="P9" i="194"/>
  <c r="R9" i="194" s="1"/>
  <c r="U9" i="194"/>
  <c r="X9" i="194" s="1"/>
  <c r="Y9" i="194" s="1"/>
  <c r="Z9" i="194" s="1"/>
  <c r="Q9" i="194" s="1"/>
  <c r="P12" i="194"/>
  <c r="R12" i="194" s="1"/>
  <c r="U12" i="194"/>
  <c r="X12" i="194" s="1"/>
  <c r="Y12" i="194" s="1"/>
  <c r="Z12" i="194" s="1"/>
  <c r="Q12" i="194" s="1"/>
  <c r="P7" i="194"/>
  <c r="R7" i="194" s="1"/>
  <c r="U7" i="194"/>
  <c r="X7" i="194" s="1"/>
  <c r="Y7" i="194" s="1"/>
  <c r="Z7" i="194" s="1"/>
  <c r="Q7" i="194" s="1"/>
  <c r="G12" i="194"/>
  <c r="G13" i="194" s="1"/>
  <c r="G14" i="194" s="1"/>
  <c r="G15" i="194" s="1"/>
  <c r="G16" i="194" s="1"/>
  <c r="G17" i="194" s="1"/>
  <c r="G18" i="194" s="1"/>
  <c r="G19" i="194" s="1"/>
  <c r="G20" i="194" s="1"/>
  <c r="G21" i="194" s="1"/>
  <c r="G22" i="194" s="1"/>
  <c r="G23" i="194" s="1"/>
  <c r="G24" i="194" s="1"/>
  <c r="F26" i="194"/>
  <c r="P8" i="193"/>
  <c r="R8" i="193" s="1"/>
  <c r="U8" i="193"/>
  <c r="X8" i="193" s="1"/>
  <c r="Y8" i="193" s="1"/>
  <c r="Z8" i="193" s="1"/>
  <c r="Q8" i="193" s="1"/>
  <c r="P6" i="193"/>
  <c r="U6" i="193"/>
  <c r="X6" i="193" s="1"/>
  <c r="Y6" i="193" s="1"/>
  <c r="Z6" i="193" s="1"/>
  <c r="P4" i="193"/>
  <c r="U4" i="193"/>
  <c r="X4" i="193" s="1"/>
  <c r="Y4" i="193" s="1"/>
  <c r="Z4" i="193" s="1"/>
  <c r="Q4" i="193" s="1"/>
  <c r="R4" i="193"/>
  <c r="Q6" i="193"/>
  <c r="F23" i="193"/>
  <c r="F19" i="193"/>
  <c r="F17" i="193"/>
  <c r="F15" i="193"/>
  <c r="F13" i="193"/>
  <c r="N12" i="193"/>
  <c r="F12" i="193"/>
  <c r="N11" i="193"/>
  <c r="N9" i="193"/>
  <c r="N7" i="193"/>
  <c r="R6" i="193"/>
  <c r="I4" i="192"/>
  <c r="M4" i="192"/>
  <c r="V4" i="192"/>
  <c r="W4" i="192"/>
  <c r="I5" i="192"/>
  <c r="M5" i="192"/>
  <c r="V5" i="192"/>
  <c r="W5" i="192"/>
  <c r="AE5" i="192"/>
  <c r="I6" i="192"/>
  <c r="M6" i="192"/>
  <c r="V6" i="192"/>
  <c r="W6" i="192"/>
  <c r="I7" i="192"/>
  <c r="M7" i="192"/>
  <c r="V7" i="192"/>
  <c r="W7" i="192"/>
  <c r="I8" i="192"/>
  <c r="M8" i="192"/>
  <c r="V8" i="192"/>
  <c r="W8" i="192"/>
  <c r="I9" i="192"/>
  <c r="M9" i="192"/>
  <c r="V9" i="192"/>
  <c r="W9" i="192"/>
  <c r="I10" i="192"/>
  <c r="M10" i="192"/>
  <c r="V10" i="192"/>
  <c r="W10" i="192"/>
  <c r="E11" i="192"/>
  <c r="I11" i="192"/>
  <c r="M11" i="192"/>
  <c r="V11" i="192"/>
  <c r="W11" i="192"/>
  <c r="E12" i="192"/>
  <c r="I12" i="192"/>
  <c r="M12" i="192"/>
  <c r="V12" i="192"/>
  <c r="W12" i="192"/>
  <c r="E13" i="192"/>
  <c r="E14" i="192"/>
  <c r="E15" i="192"/>
  <c r="E16" i="192"/>
  <c r="E17" i="192"/>
  <c r="E18" i="192"/>
  <c r="E19" i="192"/>
  <c r="E20" i="192"/>
  <c r="E21" i="192"/>
  <c r="E22" i="192"/>
  <c r="E23" i="192"/>
  <c r="E24" i="192"/>
  <c r="E25" i="192"/>
  <c r="E26" i="192"/>
  <c r="E27" i="192" s="1"/>
  <c r="F27" i="192" s="1"/>
  <c r="C27" i="192"/>
  <c r="G33" i="192"/>
  <c r="N4" i="192" s="1"/>
  <c r="F36" i="192"/>
  <c r="F18" i="192" l="1"/>
  <c r="F14" i="192"/>
  <c r="F25" i="192"/>
  <c r="F24" i="192"/>
  <c r="F20" i="192"/>
  <c r="F16" i="192"/>
  <c r="N10" i="192"/>
  <c r="U10" i="192" s="1"/>
  <c r="X10" i="192" s="1"/>
  <c r="Y10" i="192" s="1"/>
  <c r="Z10" i="192" s="1"/>
  <c r="Q10" i="192" s="1"/>
  <c r="N8" i="192"/>
  <c r="P8" i="192" s="1"/>
  <c r="R8" i="192" s="1"/>
  <c r="N6" i="192"/>
  <c r="F22" i="192"/>
  <c r="F11" i="192"/>
  <c r="N5" i="192"/>
  <c r="U5" i="192" s="1"/>
  <c r="X5" i="192" s="1"/>
  <c r="Y5" i="192" s="1"/>
  <c r="Z5" i="192" s="1"/>
  <c r="Q5" i="192" s="1"/>
  <c r="U5" i="193"/>
  <c r="X5" i="193" s="1"/>
  <c r="Y5" i="193" s="1"/>
  <c r="Z5" i="193" s="1"/>
  <c r="Q5" i="193" s="1"/>
  <c r="U10" i="193"/>
  <c r="X10" i="193" s="1"/>
  <c r="Y10" i="193" s="1"/>
  <c r="Z10" i="193" s="1"/>
  <c r="Q10" i="193" s="1"/>
  <c r="S5" i="194"/>
  <c r="S6" i="194"/>
  <c r="S8" i="194"/>
  <c r="S10" i="194"/>
  <c r="G25" i="194"/>
  <c r="S4" i="194"/>
  <c r="S7" i="194"/>
  <c r="S9" i="194"/>
  <c r="S11" i="194"/>
  <c r="S12" i="194"/>
  <c r="F31" i="194"/>
  <c r="P7" i="193"/>
  <c r="R7" i="193" s="1"/>
  <c r="U7" i="193"/>
  <c r="X7" i="193" s="1"/>
  <c r="Y7" i="193" s="1"/>
  <c r="Z7" i="193" s="1"/>
  <c r="Q7" i="193" s="1"/>
  <c r="P9" i="193"/>
  <c r="R9" i="193" s="1"/>
  <c r="U9" i="193"/>
  <c r="X9" i="193" s="1"/>
  <c r="Y9" i="193" s="1"/>
  <c r="Z9" i="193" s="1"/>
  <c r="Q9" i="193" s="1"/>
  <c r="P11" i="193"/>
  <c r="R11" i="193" s="1"/>
  <c r="U11" i="193"/>
  <c r="X11" i="193" s="1"/>
  <c r="Y11" i="193" s="1"/>
  <c r="Z11" i="193" s="1"/>
  <c r="Q11" i="193" s="1"/>
  <c r="P12" i="193"/>
  <c r="R12" i="193" s="1"/>
  <c r="U12" i="193"/>
  <c r="X12" i="193" s="1"/>
  <c r="Y12" i="193" s="1"/>
  <c r="Z12" i="193" s="1"/>
  <c r="Q12" i="193" s="1"/>
  <c r="G12" i="193"/>
  <c r="G13" i="193" s="1"/>
  <c r="G14" i="193" s="1"/>
  <c r="G15" i="193" s="1"/>
  <c r="G16" i="193" s="1"/>
  <c r="G17" i="193" s="1"/>
  <c r="G18" i="193" s="1"/>
  <c r="G19" i="193" s="1"/>
  <c r="G20" i="193" s="1"/>
  <c r="G21" i="193" s="1"/>
  <c r="G22" i="193" s="1"/>
  <c r="G23" i="193" s="1"/>
  <c r="G24" i="193" s="1"/>
  <c r="F26" i="193"/>
  <c r="P10" i="192"/>
  <c r="R10" i="192" s="1"/>
  <c r="P6" i="192"/>
  <c r="R6" i="192" s="1"/>
  <c r="U6" i="192"/>
  <c r="X6" i="192" s="1"/>
  <c r="Y6" i="192" s="1"/>
  <c r="Z6" i="192" s="1"/>
  <c r="P4" i="192"/>
  <c r="U4" i="192"/>
  <c r="X4" i="192" s="1"/>
  <c r="Y4" i="192" s="1"/>
  <c r="Z4" i="192" s="1"/>
  <c r="Q4" i="192" s="1"/>
  <c r="P5" i="192"/>
  <c r="R4" i="192"/>
  <c r="Q6" i="192"/>
  <c r="F23" i="192"/>
  <c r="F21" i="192"/>
  <c r="F19" i="192"/>
  <c r="F17" i="192"/>
  <c r="F15" i="192"/>
  <c r="F13" i="192"/>
  <c r="N12" i="192"/>
  <c r="F12" i="192"/>
  <c r="N11" i="192"/>
  <c r="N9" i="192"/>
  <c r="N7" i="192"/>
  <c r="R5" i="192"/>
  <c r="I4" i="191"/>
  <c r="M4" i="191"/>
  <c r="V4" i="191"/>
  <c r="W4" i="191"/>
  <c r="I5" i="191"/>
  <c r="M5" i="191"/>
  <c r="V5" i="191"/>
  <c r="W5" i="191"/>
  <c r="AE5" i="191"/>
  <c r="I6" i="191"/>
  <c r="M6" i="191"/>
  <c r="V6" i="191"/>
  <c r="W6" i="191"/>
  <c r="I7" i="191"/>
  <c r="M7" i="191"/>
  <c r="V7" i="191"/>
  <c r="W7" i="191"/>
  <c r="I8" i="191"/>
  <c r="M8" i="191"/>
  <c r="V8" i="191"/>
  <c r="W8" i="191"/>
  <c r="I9" i="191"/>
  <c r="M9" i="191"/>
  <c r="V9" i="191"/>
  <c r="W9" i="191"/>
  <c r="I10" i="191"/>
  <c r="M10" i="191"/>
  <c r="V10" i="191"/>
  <c r="W10" i="191"/>
  <c r="E11" i="191"/>
  <c r="I11" i="191"/>
  <c r="M11" i="191"/>
  <c r="N11" i="191" s="1"/>
  <c r="V11" i="191"/>
  <c r="W11" i="191"/>
  <c r="E12" i="191"/>
  <c r="E26" i="191" s="1"/>
  <c r="E27" i="191" s="1"/>
  <c r="F27" i="191" s="1"/>
  <c r="I12" i="191"/>
  <c r="M12" i="191"/>
  <c r="V12" i="191"/>
  <c r="W12" i="191"/>
  <c r="E13" i="191"/>
  <c r="E14" i="191"/>
  <c r="E15" i="191"/>
  <c r="E16" i="191"/>
  <c r="E17" i="191"/>
  <c r="E18" i="191"/>
  <c r="E19" i="191"/>
  <c r="E20" i="191"/>
  <c r="E21" i="191"/>
  <c r="E22" i="191"/>
  <c r="E23" i="191"/>
  <c r="E24" i="191"/>
  <c r="E25" i="191"/>
  <c r="C27" i="191"/>
  <c r="G33" i="191"/>
  <c r="N4" i="191" s="1"/>
  <c r="F36" i="191"/>
  <c r="F25" i="191" l="1"/>
  <c r="F21" i="191"/>
  <c r="F24" i="191"/>
  <c r="F20" i="191"/>
  <c r="F16" i="191"/>
  <c r="N10" i="191"/>
  <c r="N9" i="191"/>
  <c r="P9" i="191" s="1"/>
  <c r="R9" i="191" s="1"/>
  <c r="N8" i="191"/>
  <c r="P8" i="191" s="1"/>
  <c r="R8" i="191" s="1"/>
  <c r="N6" i="191"/>
  <c r="U8" i="192"/>
  <c r="X8" i="192" s="1"/>
  <c r="Y8" i="192" s="1"/>
  <c r="Z8" i="192" s="1"/>
  <c r="Q8" i="192" s="1"/>
  <c r="F11" i="191"/>
  <c r="N5" i="191"/>
  <c r="P5" i="191" s="1"/>
  <c r="R5" i="191" s="1"/>
  <c r="F22" i="191"/>
  <c r="F18" i="191"/>
  <c r="F14" i="191"/>
  <c r="S5" i="193"/>
  <c r="S6" i="193"/>
  <c r="S8" i="193"/>
  <c r="S10" i="193"/>
  <c r="G25" i="193"/>
  <c r="S4" i="193"/>
  <c r="S7" i="193"/>
  <c r="S9" i="193"/>
  <c r="S11" i="193"/>
  <c r="S12" i="193"/>
  <c r="F31" i="193"/>
  <c r="G12" i="192"/>
  <c r="G13" i="192" s="1"/>
  <c r="G14" i="192" s="1"/>
  <c r="G15" i="192" s="1"/>
  <c r="G16" i="192" s="1"/>
  <c r="G17" i="192" s="1"/>
  <c r="G18" i="192" s="1"/>
  <c r="G19" i="192" s="1"/>
  <c r="G20" i="192" s="1"/>
  <c r="G21" i="192" s="1"/>
  <c r="G22" i="192" s="1"/>
  <c r="G23" i="192" s="1"/>
  <c r="G24" i="192" s="1"/>
  <c r="F26" i="192"/>
  <c r="P7" i="192"/>
  <c r="R7" i="192" s="1"/>
  <c r="U7" i="192"/>
  <c r="X7" i="192" s="1"/>
  <c r="Y7" i="192" s="1"/>
  <c r="Z7" i="192" s="1"/>
  <c r="Q7" i="192" s="1"/>
  <c r="P9" i="192"/>
  <c r="R9" i="192" s="1"/>
  <c r="U9" i="192"/>
  <c r="X9" i="192" s="1"/>
  <c r="Y9" i="192" s="1"/>
  <c r="Z9" i="192" s="1"/>
  <c r="Q9" i="192" s="1"/>
  <c r="P11" i="192"/>
  <c r="R11" i="192" s="1"/>
  <c r="U11" i="192"/>
  <c r="X11" i="192" s="1"/>
  <c r="Y11" i="192" s="1"/>
  <c r="Z11" i="192" s="1"/>
  <c r="Q11" i="192" s="1"/>
  <c r="P12" i="192"/>
  <c r="R12" i="192" s="1"/>
  <c r="U12" i="192"/>
  <c r="X12" i="192" s="1"/>
  <c r="Y12" i="192" s="1"/>
  <c r="Z12" i="192" s="1"/>
  <c r="Q12" i="192" s="1"/>
  <c r="P4" i="191"/>
  <c r="U4" i="191"/>
  <c r="X4" i="191" s="1"/>
  <c r="Y4" i="191" s="1"/>
  <c r="Z4" i="191" s="1"/>
  <c r="P10" i="191"/>
  <c r="R10" i="191" s="1"/>
  <c r="U10" i="191"/>
  <c r="X10" i="191" s="1"/>
  <c r="Y10" i="191" s="1"/>
  <c r="Z10" i="191" s="1"/>
  <c r="Q10" i="191" s="1"/>
  <c r="U8" i="191"/>
  <c r="X8" i="191" s="1"/>
  <c r="Y8" i="191" s="1"/>
  <c r="Z8" i="191" s="1"/>
  <c r="Q8" i="191" s="1"/>
  <c r="P6" i="191"/>
  <c r="U6" i="191"/>
  <c r="X6" i="191" s="1"/>
  <c r="Y6" i="191" s="1"/>
  <c r="Z6" i="191" s="1"/>
  <c r="Q6" i="191" s="1"/>
  <c r="Q4" i="191"/>
  <c r="P11" i="191"/>
  <c r="R11" i="191" s="1"/>
  <c r="U11" i="191"/>
  <c r="X11" i="191" s="1"/>
  <c r="Y11" i="191" s="1"/>
  <c r="Z11" i="191" s="1"/>
  <c r="Q11" i="191" s="1"/>
  <c r="R4" i="191"/>
  <c r="F23" i="191"/>
  <c r="F19" i="191"/>
  <c r="F17" i="191"/>
  <c r="F15" i="191"/>
  <c r="F13" i="191"/>
  <c r="N12" i="191"/>
  <c r="F12" i="191"/>
  <c r="N7" i="191"/>
  <c r="R6" i="191"/>
  <c r="I4" i="190"/>
  <c r="M4" i="190"/>
  <c r="V4" i="190"/>
  <c r="W4" i="190"/>
  <c r="I5" i="190"/>
  <c r="M5" i="190"/>
  <c r="V5" i="190"/>
  <c r="W5" i="190"/>
  <c r="AE5" i="190"/>
  <c r="I6" i="190"/>
  <c r="M6" i="190"/>
  <c r="V6" i="190"/>
  <c r="W6" i="190"/>
  <c r="I7" i="190"/>
  <c r="M7" i="190"/>
  <c r="V7" i="190"/>
  <c r="W7" i="190"/>
  <c r="I8" i="190"/>
  <c r="M8" i="190"/>
  <c r="V8" i="190"/>
  <c r="W8" i="190"/>
  <c r="I9" i="190"/>
  <c r="M9" i="190"/>
  <c r="V9" i="190"/>
  <c r="W9" i="190"/>
  <c r="I10" i="190"/>
  <c r="M10" i="190"/>
  <c r="V10" i="190"/>
  <c r="W10" i="190"/>
  <c r="E11" i="190"/>
  <c r="I11" i="190"/>
  <c r="M11" i="190"/>
  <c r="N11" i="190" s="1"/>
  <c r="V11" i="190"/>
  <c r="W11" i="190"/>
  <c r="E12" i="190"/>
  <c r="I12" i="190"/>
  <c r="M12" i="190"/>
  <c r="N12" i="190" s="1"/>
  <c r="V12" i="190"/>
  <c r="W12" i="190"/>
  <c r="E13" i="190"/>
  <c r="E14" i="190"/>
  <c r="E15" i="190"/>
  <c r="E16" i="190"/>
  <c r="E17" i="190"/>
  <c r="E18" i="190"/>
  <c r="E19" i="190"/>
  <c r="E20" i="190"/>
  <c r="E21" i="190"/>
  <c r="E22" i="190"/>
  <c r="E23" i="190"/>
  <c r="E24" i="190"/>
  <c r="E25" i="190"/>
  <c r="E26" i="190"/>
  <c r="F11" i="190" s="1"/>
  <c r="C27" i="190"/>
  <c r="G33" i="190"/>
  <c r="N5" i="190" s="1"/>
  <c r="F36" i="190"/>
  <c r="F21" i="190" l="1"/>
  <c r="F13" i="190"/>
  <c r="U5" i="191"/>
  <c r="X5" i="191" s="1"/>
  <c r="Y5" i="191" s="1"/>
  <c r="Z5" i="191" s="1"/>
  <c r="Q5" i="191" s="1"/>
  <c r="F12" i="190"/>
  <c r="G12" i="190" s="1"/>
  <c r="G13" i="190" s="1"/>
  <c r="N9" i="190"/>
  <c r="N7" i="190"/>
  <c r="U9" i="191"/>
  <c r="X9" i="191" s="1"/>
  <c r="Y9" i="191" s="1"/>
  <c r="Z9" i="191" s="1"/>
  <c r="Q9" i="191" s="1"/>
  <c r="F25" i="190"/>
  <c r="F17" i="190"/>
  <c r="F23" i="190"/>
  <c r="F19" i="190"/>
  <c r="F15" i="190"/>
  <c r="N4" i="190"/>
  <c r="S5" i="192"/>
  <c r="S6" i="192"/>
  <c r="S8" i="192"/>
  <c r="S10" i="192"/>
  <c r="G25" i="192"/>
  <c r="S4" i="192"/>
  <c r="S7" i="192"/>
  <c r="S9" i="192"/>
  <c r="S11" i="192"/>
  <c r="S12" i="192"/>
  <c r="F31" i="192"/>
  <c r="P7" i="191"/>
  <c r="R7" i="191" s="1"/>
  <c r="U7" i="191"/>
  <c r="X7" i="191" s="1"/>
  <c r="Y7" i="191" s="1"/>
  <c r="Z7" i="191" s="1"/>
  <c r="Q7" i="191" s="1"/>
  <c r="P12" i="191"/>
  <c r="R12" i="191" s="1"/>
  <c r="U12" i="191"/>
  <c r="X12" i="191" s="1"/>
  <c r="Y12" i="191" s="1"/>
  <c r="Z12" i="191" s="1"/>
  <c r="Q12" i="191" s="1"/>
  <c r="G12" i="191"/>
  <c r="G13" i="191" s="1"/>
  <c r="G14" i="191" s="1"/>
  <c r="G15" i="191" s="1"/>
  <c r="G16" i="191" s="1"/>
  <c r="G17" i="191" s="1"/>
  <c r="G18" i="191" s="1"/>
  <c r="G19" i="191" s="1"/>
  <c r="G20" i="191" s="1"/>
  <c r="G21" i="191" s="1"/>
  <c r="G22" i="191" s="1"/>
  <c r="G23" i="191" s="1"/>
  <c r="G24" i="191" s="1"/>
  <c r="F26" i="191"/>
  <c r="P11" i="190"/>
  <c r="U11" i="190"/>
  <c r="X11" i="190" s="1"/>
  <c r="Y11" i="190" s="1"/>
  <c r="Z11" i="190" s="1"/>
  <c r="Q11" i="190" s="1"/>
  <c r="P4" i="190"/>
  <c r="U4" i="190"/>
  <c r="X4" i="190" s="1"/>
  <c r="Y4" i="190" s="1"/>
  <c r="Z4" i="190" s="1"/>
  <c r="Q4" i="190" s="1"/>
  <c r="P5" i="190"/>
  <c r="R5" i="190" s="1"/>
  <c r="U5" i="190"/>
  <c r="X5" i="190" s="1"/>
  <c r="Y5" i="190" s="1"/>
  <c r="Z5" i="190" s="1"/>
  <c r="Q5" i="190" s="1"/>
  <c r="P12" i="190"/>
  <c r="U12" i="190"/>
  <c r="X12" i="190" s="1"/>
  <c r="Y12" i="190" s="1"/>
  <c r="Z12" i="190" s="1"/>
  <c r="Q12" i="190" s="1"/>
  <c r="P9" i="190"/>
  <c r="R9" i="190" s="1"/>
  <c r="U9" i="190"/>
  <c r="X9" i="190" s="1"/>
  <c r="Y9" i="190" s="1"/>
  <c r="Z9" i="190" s="1"/>
  <c r="Q9" i="190" s="1"/>
  <c r="P7" i="190"/>
  <c r="U7" i="190"/>
  <c r="X7" i="190" s="1"/>
  <c r="Y7" i="190" s="1"/>
  <c r="Z7" i="190" s="1"/>
  <c r="Q7" i="190" s="1"/>
  <c r="R4" i="190"/>
  <c r="E27" i="190"/>
  <c r="F27" i="190" s="1"/>
  <c r="F24" i="190"/>
  <c r="F22" i="190"/>
  <c r="F20" i="190"/>
  <c r="F18" i="190"/>
  <c r="F16" i="190"/>
  <c r="F14" i="190"/>
  <c r="R12" i="190"/>
  <c r="R11" i="190"/>
  <c r="N10" i="190"/>
  <c r="N8" i="190"/>
  <c r="R7" i="190"/>
  <c r="N6" i="190"/>
  <c r="I4" i="189"/>
  <c r="M4" i="189"/>
  <c r="V4" i="189"/>
  <c r="W4" i="189"/>
  <c r="I5" i="189"/>
  <c r="M5" i="189"/>
  <c r="V5" i="189"/>
  <c r="W5" i="189"/>
  <c r="AE5" i="189"/>
  <c r="I6" i="189"/>
  <c r="M6" i="189"/>
  <c r="V6" i="189"/>
  <c r="W6" i="189"/>
  <c r="I7" i="189"/>
  <c r="M7" i="189"/>
  <c r="V7" i="189"/>
  <c r="W7" i="189"/>
  <c r="I8" i="189"/>
  <c r="M8" i="189"/>
  <c r="V8" i="189"/>
  <c r="W8" i="189"/>
  <c r="I9" i="189"/>
  <c r="M9" i="189"/>
  <c r="V9" i="189"/>
  <c r="W9" i="189"/>
  <c r="I10" i="189"/>
  <c r="M10" i="189"/>
  <c r="V10" i="189"/>
  <c r="W10" i="189"/>
  <c r="E11" i="189"/>
  <c r="I11" i="189"/>
  <c r="M11" i="189"/>
  <c r="V11" i="189"/>
  <c r="W11" i="189"/>
  <c r="E12" i="189"/>
  <c r="E26" i="189" s="1"/>
  <c r="E27" i="189" s="1"/>
  <c r="F27" i="189" s="1"/>
  <c r="I12" i="189"/>
  <c r="M12" i="189"/>
  <c r="V12" i="189"/>
  <c r="W12" i="189"/>
  <c r="E13" i="189"/>
  <c r="E14" i="189"/>
  <c r="E15" i="189"/>
  <c r="E16" i="189"/>
  <c r="E17" i="189"/>
  <c r="E18" i="189"/>
  <c r="E19" i="189"/>
  <c r="E20" i="189"/>
  <c r="E21" i="189"/>
  <c r="E22" i="189"/>
  <c r="E23" i="189"/>
  <c r="E24" i="189"/>
  <c r="E25" i="189"/>
  <c r="C27" i="189"/>
  <c r="G33" i="189"/>
  <c r="N4" i="189" s="1"/>
  <c r="F36" i="189"/>
  <c r="F20" i="189" l="1"/>
  <c r="N6" i="189"/>
  <c r="F11" i="189"/>
  <c r="N5" i="189"/>
  <c r="P5" i="189" s="1"/>
  <c r="R5" i="189" s="1"/>
  <c r="F24" i="189"/>
  <c r="F16" i="189"/>
  <c r="N10" i="189"/>
  <c r="N8" i="189"/>
  <c r="P8" i="189" s="1"/>
  <c r="R8" i="189" s="1"/>
  <c r="F22" i="189"/>
  <c r="F18" i="189"/>
  <c r="F14" i="189"/>
  <c r="F26" i="190"/>
  <c r="S5" i="191"/>
  <c r="S6" i="191"/>
  <c r="S8" i="191"/>
  <c r="S10" i="191"/>
  <c r="G25" i="191"/>
  <c r="S4" i="191"/>
  <c r="S7" i="191"/>
  <c r="S9" i="191"/>
  <c r="S11" i="191"/>
  <c r="S12" i="191"/>
  <c r="F31" i="191"/>
  <c r="P6" i="190"/>
  <c r="R6" i="190" s="1"/>
  <c r="U6" i="190"/>
  <c r="X6" i="190" s="1"/>
  <c r="Y6" i="190" s="1"/>
  <c r="Z6" i="190" s="1"/>
  <c r="Q6" i="190" s="1"/>
  <c r="P8" i="190"/>
  <c r="R8" i="190" s="1"/>
  <c r="U8" i="190"/>
  <c r="X8" i="190" s="1"/>
  <c r="Y8" i="190" s="1"/>
  <c r="Z8" i="190" s="1"/>
  <c r="Q8" i="190" s="1"/>
  <c r="P10" i="190"/>
  <c r="R10" i="190" s="1"/>
  <c r="U10" i="190"/>
  <c r="X10" i="190" s="1"/>
  <c r="Y10" i="190" s="1"/>
  <c r="Z10" i="190" s="1"/>
  <c r="Q10" i="190" s="1"/>
  <c r="G14" i="190"/>
  <c r="G15" i="190" s="1"/>
  <c r="G16" i="190" s="1"/>
  <c r="G17" i="190" s="1"/>
  <c r="G18" i="190" s="1"/>
  <c r="G19" i="190" s="1"/>
  <c r="G20" i="190" s="1"/>
  <c r="G21" i="190" s="1"/>
  <c r="G22" i="190" s="1"/>
  <c r="G23" i="190" s="1"/>
  <c r="G24" i="190" s="1"/>
  <c r="U5" i="189"/>
  <c r="X5" i="189" s="1"/>
  <c r="Y5" i="189" s="1"/>
  <c r="Z5" i="189" s="1"/>
  <c r="Q5" i="189" s="1"/>
  <c r="P4" i="189"/>
  <c r="U4" i="189"/>
  <c r="X4" i="189" s="1"/>
  <c r="Y4" i="189" s="1"/>
  <c r="Z4" i="189" s="1"/>
  <c r="Q4" i="189" s="1"/>
  <c r="P10" i="189"/>
  <c r="U10" i="189"/>
  <c r="X10" i="189" s="1"/>
  <c r="Y10" i="189" s="1"/>
  <c r="Z10" i="189" s="1"/>
  <c r="Q10" i="189" s="1"/>
  <c r="P6" i="189"/>
  <c r="U6" i="189"/>
  <c r="X6" i="189" s="1"/>
  <c r="Y6" i="189" s="1"/>
  <c r="Z6" i="189" s="1"/>
  <c r="Q6" i="189" s="1"/>
  <c r="R4" i="189"/>
  <c r="F25" i="189"/>
  <c r="F21" i="189"/>
  <c r="F19" i="189"/>
  <c r="F17" i="189"/>
  <c r="F15" i="189"/>
  <c r="F13" i="189"/>
  <c r="N12" i="189"/>
  <c r="F12" i="189"/>
  <c r="N11" i="189"/>
  <c r="R10" i="189"/>
  <c r="N9" i="189"/>
  <c r="N7" i="189"/>
  <c r="R6" i="189"/>
  <c r="F23" i="189"/>
  <c r="I4" i="188"/>
  <c r="M4" i="188"/>
  <c r="V4" i="188"/>
  <c r="W4" i="188"/>
  <c r="I5" i="188"/>
  <c r="M5" i="188"/>
  <c r="V5" i="188"/>
  <c r="W5" i="188"/>
  <c r="AE5" i="188"/>
  <c r="I6" i="188"/>
  <c r="M6" i="188"/>
  <c r="V6" i="188"/>
  <c r="W6" i="188"/>
  <c r="I7" i="188"/>
  <c r="M7" i="188"/>
  <c r="V7" i="188"/>
  <c r="W7" i="188"/>
  <c r="I8" i="188"/>
  <c r="M8" i="188"/>
  <c r="V8" i="188"/>
  <c r="W8" i="188"/>
  <c r="I9" i="188"/>
  <c r="M9" i="188"/>
  <c r="V9" i="188"/>
  <c r="W9" i="188"/>
  <c r="I10" i="188"/>
  <c r="M10" i="188"/>
  <c r="V10" i="188"/>
  <c r="W10" i="188"/>
  <c r="E11" i="188"/>
  <c r="I11" i="188"/>
  <c r="M11" i="188"/>
  <c r="V11" i="188"/>
  <c r="W11" i="188"/>
  <c r="E12" i="188"/>
  <c r="E26" i="188" s="1"/>
  <c r="E27" i="188" s="1"/>
  <c r="F27" i="188" s="1"/>
  <c r="I12" i="188"/>
  <c r="M12" i="188"/>
  <c r="V12" i="188"/>
  <c r="W12" i="188"/>
  <c r="E13" i="188"/>
  <c r="E14" i="188"/>
  <c r="E15" i="188"/>
  <c r="E16" i="188"/>
  <c r="E17" i="188"/>
  <c r="E18" i="188"/>
  <c r="E19" i="188"/>
  <c r="E20" i="188"/>
  <c r="E21" i="188"/>
  <c r="E22" i="188"/>
  <c r="E23" i="188"/>
  <c r="E24" i="188"/>
  <c r="E25" i="188"/>
  <c r="C27" i="188"/>
  <c r="G33" i="188"/>
  <c r="N5" i="188" s="1"/>
  <c r="F36" i="188"/>
  <c r="F20" i="188" l="1"/>
  <c r="N10" i="188"/>
  <c r="N8" i="188"/>
  <c r="P8" i="188" s="1"/>
  <c r="R8" i="188" s="1"/>
  <c r="F22" i="188"/>
  <c r="F18" i="188"/>
  <c r="F14" i="188"/>
  <c r="U8" i="189"/>
  <c r="X8" i="189" s="1"/>
  <c r="Y8" i="189" s="1"/>
  <c r="Z8" i="189" s="1"/>
  <c r="Q8" i="189" s="1"/>
  <c r="F24" i="188"/>
  <c r="F16" i="188"/>
  <c r="N6" i="188"/>
  <c r="F19" i="188"/>
  <c r="F11" i="188"/>
  <c r="F25" i="188"/>
  <c r="F21" i="188"/>
  <c r="F17" i="188"/>
  <c r="S5" i="190"/>
  <c r="S6" i="190"/>
  <c r="S8" i="190"/>
  <c r="S10" i="190"/>
  <c r="G25" i="190"/>
  <c r="S4" i="190"/>
  <c r="S7" i="190"/>
  <c r="S9" i="190"/>
  <c r="S11" i="190"/>
  <c r="S12" i="190"/>
  <c r="F31" i="190"/>
  <c r="P7" i="189"/>
  <c r="R7" i="189" s="1"/>
  <c r="U7" i="189"/>
  <c r="X7" i="189" s="1"/>
  <c r="Y7" i="189" s="1"/>
  <c r="Z7" i="189" s="1"/>
  <c r="Q7" i="189" s="1"/>
  <c r="P9" i="189"/>
  <c r="R9" i="189" s="1"/>
  <c r="U9" i="189"/>
  <c r="X9" i="189" s="1"/>
  <c r="Y9" i="189" s="1"/>
  <c r="Z9" i="189" s="1"/>
  <c r="Q9" i="189" s="1"/>
  <c r="P11" i="189"/>
  <c r="R11" i="189" s="1"/>
  <c r="U11" i="189"/>
  <c r="X11" i="189" s="1"/>
  <c r="Y11" i="189" s="1"/>
  <c r="Z11" i="189" s="1"/>
  <c r="Q11" i="189" s="1"/>
  <c r="P12" i="189"/>
  <c r="R12" i="189" s="1"/>
  <c r="U12" i="189"/>
  <c r="X12" i="189" s="1"/>
  <c r="Y12" i="189" s="1"/>
  <c r="Z12" i="189" s="1"/>
  <c r="Q12" i="189" s="1"/>
  <c r="G12" i="189"/>
  <c r="G13" i="189" s="1"/>
  <c r="G14" i="189" s="1"/>
  <c r="G15" i="189" s="1"/>
  <c r="G16" i="189" s="1"/>
  <c r="G17" i="189" s="1"/>
  <c r="G18" i="189" s="1"/>
  <c r="G19" i="189" s="1"/>
  <c r="G20" i="189" s="1"/>
  <c r="G21" i="189" s="1"/>
  <c r="G22" i="189" s="1"/>
  <c r="G23" i="189" s="1"/>
  <c r="G24" i="189" s="1"/>
  <c r="F26" i="189"/>
  <c r="P5" i="188"/>
  <c r="U5" i="188"/>
  <c r="X5" i="188" s="1"/>
  <c r="Y5" i="188" s="1"/>
  <c r="Z5" i="188" s="1"/>
  <c r="Q5" i="188" s="1"/>
  <c r="P10" i="188"/>
  <c r="U10" i="188"/>
  <c r="X10" i="188" s="1"/>
  <c r="Y10" i="188" s="1"/>
  <c r="Z10" i="188" s="1"/>
  <c r="Q10" i="188" s="1"/>
  <c r="P6" i="188"/>
  <c r="U6" i="188"/>
  <c r="X6" i="188" s="1"/>
  <c r="Y6" i="188" s="1"/>
  <c r="Z6" i="188" s="1"/>
  <c r="Q6" i="188" s="1"/>
  <c r="F23" i="188"/>
  <c r="F15" i="188"/>
  <c r="F13" i="188"/>
  <c r="N12" i="188"/>
  <c r="F12" i="188"/>
  <c r="N11" i="188"/>
  <c r="R10" i="188"/>
  <c r="N9" i="188"/>
  <c r="N7" i="188"/>
  <c r="R6" i="188"/>
  <c r="R5" i="188"/>
  <c r="N4" i="188"/>
  <c r="I4" i="187"/>
  <c r="M4" i="187"/>
  <c r="V4" i="187"/>
  <c r="W4" i="187"/>
  <c r="I5" i="187"/>
  <c r="M5" i="187"/>
  <c r="N5" i="187" s="1"/>
  <c r="V5" i="187"/>
  <c r="W5" i="187"/>
  <c r="AE5" i="187"/>
  <c r="I6" i="187"/>
  <c r="M6" i="187"/>
  <c r="V6" i="187"/>
  <c r="W6" i="187"/>
  <c r="I7" i="187"/>
  <c r="M7" i="187"/>
  <c r="V7" i="187"/>
  <c r="W7" i="187"/>
  <c r="I8" i="187"/>
  <c r="M8" i="187"/>
  <c r="V8" i="187"/>
  <c r="W8" i="187"/>
  <c r="I9" i="187"/>
  <c r="M9" i="187"/>
  <c r="V9" i="187"/>
  <c r="W9" i="187"/>
  <c r="I10" i="187"/>
  <c r="M10" i="187"/>
  <c r="V10" i="187"/>
  <c r="W10" i="187"/>
  <c r="E11" i="187"/>
  <c r="I11" i="187"/>
  <c r="M11" i="187"/>
  <c r="V11" i="187"/>
  <c r="W11" i="187"/>
  <c r="E12" i="187"/>
  <c r="I12" i="187"/>
  <c r="M12" i="187"/>
  <c r="V12" i="187"/>
  <c r="W12" i="187"/>
  <c r="E13" i="187"/>
  <c r="E14" i="187"/>
  <c r="E15" i="187"/>
  <c r="E16" i="187"/>
  <c r="E17" i="187"/>
  <c r="E18" i="187"/>
  <c r="E19" i="187"/>
  <c r="E20" i="187"/>
  <c r="E21" i="187"/>
  <c r="E22" i="187"/>
  <c r="E23" i="187"/>
  <c r="E24" i="187"/>
  <c r="E25" i="187"/>
  <c r="C27" i="187"/>
  <c r="G33" i="187"/>
  <c r="F36" i="187"/>
  <c r="F11" i="187" l="1"/>
  <c r="F22" i="187"/>
  <c r="F21" i="187"/>
  <c r="U8" i="188"/>
  <c r="X8" i="188" s="1"/>
  <c r="Y8" i="188" s="1"/>
  <c r="Z8" i="188" s="1"/>
  <c r="Q8" i="188" s="1"/>
  <c r="F23" i="187"/>
  <c r="F15" i="187"/>
  <c r="E26" i="187"/>
  <c r="F14" i="187" s="1"/>
  <c r="F18" i="187"/>
  <c r="F25" i="187"/>
  <c r="F17" i="187"/>
  <c r="N4" i="187"/>
  <c r="F20" i="187"/>
  <c r="N10" i="187"/>
  <c r="N8" i="187"/>
  <c r="P8" i="187" s="1"/>
  <c r="R8" i="187" s="1"/>
  <c r="N6" i="187"/>
  <c r="S5" i="189"/>
  <c r="S6" i="189"/>
  <c r="S8" i="189"/>
  <c r="S10" i="189"/>
  <c r="G25" i="189"/>
  <c r="S4" i="189"/>
  <c r="S7" i="189"/>
  <c r="S9" i="189"/>
  <c r="S11" i="189"/>
  <c r="S12" i="189"/>
  <c r="F31" i="189"/>
  <c r="P7" i="188"/>
  <c r="R7" i="188" s="1"/>
  <c r="U7" i="188"/>
  <c r="X7" i="188" s="1"/>
  <c r="Y7" i="188" s="1"/>
  <c r="Z7" i="188" s="1"/>
  <c r="Q7" i="188" s="1"/>
  <c r="P9" i="188"/>
  <c r="R9" i="188" s="1"/>
  <c r="U9" i="188"/>
  <c r="X9" i="188" s="1"/>
  <c r="Y9" i="188" s="1"/>
  <c r="Z9" i="188" s="1"/>
  <c r="Q9" i="188" s="1"/>
  <c r="P11" i="188"/>
  <c r="R11" i="188" s="1"/>
  <c r="U11" i="188"/>
  <c r="X11" i="188" s="1"/>
  <c r="Y11" i="188" s="1"/>
  <c r="Z11" i="188" s="1"/>
  <c r="Q11" i="188" s="1"/>
  <c r="P12" i="188"/>
  <c r="R12" i="188" s="1"/>
  <c r="U12" i="188"/>
  <c r="X12" i="188" s="1"/>
  <c r="Y12" i="188" s="1"/>
  <c r="Z12" i="188" s="1"/>
  <c r="Q12" i="188" s="1"/>
  <c r="P4" i="188"/>
  <c r="R4" i="188" s="1"/>
  <c r="U4" i="188"/>
  <c r="X4" i="188" s="1"/>
  <c r="Y4" i="188" s="1"/>
  <c r="Z4" i="188" s="1"/>
  <c r="Q4" i="188" s="1"/>
  <c r="G12" i="188"/>
  <c r="G13" i="188" s="1"/>
  <c r="G14" i="188" s="1"/>
  <c r="G15" i="188" s="1"/>
  <c r="G16" i="188" s="1"/>
  <c r="G17" i="188" s="1"/>
  <c r="G18" i="188" s="1"/>
  <c r="G19" i="188" s="1"/>
  <c r="G20" i="188" s="1"/>
  <c r="G21" i="188" s="1"/>
  <c r="G22" i="188" s="1"/>
  <c r="G23" i="188" s="1"/>
  <c r="G24" i="188" s="1"/>
  <c r="F26" i="188"/>
  <c r="P4" i="187"/>
  <c r="U4" i="187"/>
  <c r="X4" i="187" s="1"/>
  <c r="Y4" i="187" s="1"/>
  <c r="Z4" i="187" s="1"/>
  <c r="P10" i="187"/>
  <c r="R10" i="187" s="1"/>
  <c r="U10" i="187"/>
  <c r="X10" i="187" s="1"/>
  <c r="Y10" i="187" s="1"/>
  <c r="Z10" i="187" s="1"/>
  <c r="Q10" i="187" s="1"/>
  <c r="P6" i="187"/>
  <c r="R6" i="187" s="1"/>
  <c r="U6" i="187"/>
  <c r="X6" i="187" s="1"/>
  <c r="Y6" i="187" s="1"/>
  <c r="Z6" i="187" s="1"/>
  <c r="Q6" i="187" s="1"/>
  <c r="R4" i="187"/>
  <c r="Q4" i="187"/>
  <c r="P5" i="187"/>
  <c r="R5" i="187" s="1"/>
  <c r="U5" i="187"/>
  <c r="X5" i="187" s="1"/>
  <c r="Y5" i="187" s="1"/>
  <c r="Z5" i="187" s="1"/>
  <c r="Q5" i="187" s="1"/>
  <c r="N12" i="187"/>
  <c r="F12" i="187"/>
  <c r="N11" i="187"/>
  <c r="N9" i="187"/>
  <c r="N7" i="187"/>
  <c r="E27" i="187"/>
  <c r="F27" i="187" s="1"/>
  <c r="F24" i="187"/>
  <c r="F16" i="187"/>
  <c r="I4" i="186"/>
  <c r="M4" i="186"/>
  <c r="V4" i="186"/>
  <c r="W4" i="186"/>
  <c r="I5" i="186"/>
  <c r="M5" i="186"/>
  <c r="V5" i="186"/>
  <c r="W5" i="186"/>
  <c r="AE5" i="186"/>
  <c r="I6" i="186"/>
  <c r="M6" i="186"/>
  <c r="V6" i="186"/>
  <c r="W6" i="186"/>
  <c r="I7" i="186"/>
  <c r="M7" i="186"/>
  <c r="V7" i="186"/>
  <c r="W7" i="186"/>
  <c r="I8" i="186"/>
  <c r="M8" i="186"/>
  <c r="V8" i="186"/>
  <c r="W8" i="186"/>
  <c r="I9" i="186"/>
  <c r="M9" i="186"/>
  <c r="V9" i="186"/>
  <c r="W9" i="186"/>
  <c r="I10" i="186"/>
  <c r="M10" i="186"/>
  <c r="V10" i="186"/>
  <c r="W10" i="186"/>
  <c r="E11" i="186"/>
  <c r="I11" i="186"/>
  <c r="M11" i="186"/>
  <c r="V11" i="186"/>
  <c r="W11" i="186"/>
  <c r="E12" i="186"/>
  <c r="E26" i="186" s="1"/>
  <c r="E27" i="186" s="1"/>
  <c r="F27" i="186" s="1"/>
  <c r="I12" i="186"/>
  <c r="M12" i="186"/>
  <c r="V12" i="186"/>
  <c r="W12" i="186"/>
  <c r="E13" i="186"/>
  <c r="E14" i="186"/>
  <c r="E15" i="186"/>
  <c r="E16" i="186"/>
  <c r="E17" i="186"/>
  <c r="E18" i="186"/>
  <c r="E19" i="186"/>
  <c r="E20" i="186"/>
  <c r="E21" i="186"/>
  <c r="E22" i="186"/>
  <c r="E23" i="186"/>
  <c r="E24" i="186"/>
  <c r="E25" i="186"/>
  <c r="C27" i="186"/>
  <c r="G33" i="186"/>
  <c r="N4" i="186" s="1"/>
  <c r="F36" i="186"/>
  <c r="F24" i="186" l="1"/>
  <c r="F16" i="186"/>
  <c r="N8" i="186"/>
  <c r="F18" i="186"/>
  <c r="U8" i="187"/>
  <c r="X8" i="187" s="1"/>
  <c r="Y8" i="187" s="1"/>
  <c r="Z8" i="187" s="1"/>
  <c r="Q8" i="187" s="1"/>
  <c r="F20" i="186"/>
  <c r="N10" i="186"/>
  <c r="P10" i="186" s="1"/>
  <c r="R10" i="186" s="1"/>
  <c r="N6" i="186"/>
  <c r="P6" i="186" s="1"/>
  <c r="R6" i="186" s="1"/>
  <c r="F11" i="186"/>
  <c r="N5" i="186"/>
  <c r="F22" i="186"/>
  <c r="F14" i="186"/>
  <c r="F25" i="186"/>
  <c r="F13" i="187"/>
  <c r="F19" i="187"/>
  <c r="S5" i="188"/>
  <c r="S6" i="188"/>
  <c r="S8" i="188"/>
  <c r="S10" i="188"/>
  <c r="G25" i="188"/>
  <c r="S4" i="188"/>
  <c r="S7" i="188"/>
  <c r="S9" i="188"/>
  <c r="S11" i="188"/>
  <c r="S12" i="188"/>
  <c r="F31" i="188"/>
  <c r="G12" i="187"/>
  <c r="G13" i="187" s="1"/>
  <c r="G14" i="187" s="1"/>
  <c r="G15" i="187" s="1"/>
  <c r="G16" i="187" s="1"/>
  <c r="G17" i="187" s="1"/>
  <c r="G18" i="187" s="1"/>
  <c r="G19" i="187" s="1"/>
  <c r="G20" i="187" s="1"/>
  <c r="G21" i="187" s="1"/>
  <c r="G22" i="187" s="1"/>
  <c r="G23" i="187" s="1"/>
  <c r="G24" i="187" s="1"/>
  <c r="F26" i="187"/>
  <c r="P7" i="187"/>
  <c r="R7" i="187" s="1"/>
  <c r="U7" i="187"/>
  <c r="X7" i="187" s="1"/>
  <c r="Y7" i="187" s="1"/>
  <c r="Z7" i="187" s="1"/>
  <c r="Q7" i="187" s="1"/>
  <c r="P9" i="187"/>
  <c r="R9" i="187" s="1"/>
  <c r="U9" i="187"/>
  <c r="X9" i="187" s="1"/>
  <c r="Y9" i="187" s="1"/>
  <c r="Z9" i="187" s="1"/>
  <c r="Q9" i="187" s="1"/>
  <c r="P11" i="187"/>
  <c r="R11" i="187" s="1"/>
  <c r="U11" i="187"/>
  <c r="X11" i="187" s="1"/>
  <c r="Y11" i="187" s="1"/>
  <c r="Z11" i="187" s="1"/>
  <c r="Q11" i="187" s="1"/>
  <c r="P12" i="187"/>
  <c r="R12" i="187" s="1"/>
  <c r="U12" i="187"/>
  <c r="X12" i="187" s="1"/>
  <c r="Y12" i="187" s="1"/>
  <c r="Z12" i="187" s="1"/>
  <c r="Q12" i="187" s="1"/>
  <c r="P8" i="186"/>
  <c r="U8" i="186"/>
  <c r="X8" i="186" s="1"/>
  <c r="Y8" i="186" s="1"/>
  <c r="Z8" i="186" s="1"/>
  <c r="Q8" i="186" s="1"/>
  <c r="P4" i="186"/>
  <c r="U4" i="186"/>
  <c r="X4" i="186" s="1"/>
  <c r="Y4" i="186" s="1"/>
  <c r="Z4" i="186" s="1"/>
  <c r="Q4" i="186" s="1"/>
  <c r="P5" i="186"/>
  <c r="U5" i="186"/>
  <c r="X5" i="186" s="1"/>
  <c r="Y5" i="186" s="1"/>
  <c r="Z5" i="186" s="1"/>
  <c r="Q5" i="186" s="1"/>
  <c r="R4" i="186"/>
  <c r="F23" i="186"/>
  <c r="F21" i="186"/>
  <c r="F19" i="186"/>
  <c r="F17" i="186"/>
  <c r="F15" i="186"/>
  <c r="F13" i="186"/>
  <c r="N12" i="186"/>
  <c r="F12" i="186"/>
  <c r="N11" i="186"/>
  <c r="N9" i="186"/>
  <c r="R8" i="186"/>
  <c r="N7" i="186"/>
  <c r="R5" i="186"/>
  <c r="I4" i="185"/>
  <c r="M4" i="185"/>
  <c r="V4" i="185"/>
  <c r="W4" i="185"/>
  <c r="I5" i="185"/>
  <c r="M5" i="185"/>
  <c r="N5" i="185" s="1"/>
  <c r="V5" i="185"/>
  <c r="W5" i="185"/>
  <c r="AE5" i="185"/>
  <c r="I6" i="185"/>
  <c r="M6" i="185"/>
  <c r="V6" i="185"/>
  <c r="W6" i="185"/>
  <c r="I7" i="185"/>
  <c r="M7" i="185"/>
  <c r="V7" i="185"/>
  <c r="W7" i="185"/>
  <c r="I8" i="185"/>
  <c r="M8" i="185"/>
  <c r="V8" i="185"/>
  <c r="W8" i="185"/>
  <c r="I9" i="185"/>
  <c r="M9" i="185"/>
  <c r="V9" i="185"/>
  <c r="W9" i="185"/>
  <c r="I10" i="185"/>
  <c r="M10" i="185"/>
  <c r="V10" i="185"/>
  <c r="W10" i="185"/>
  <c r="E11" i="185"/>
  <c r="I11" i="185"/>
  <c r="M11" i="185"/>
  <c r="V11" i="185"/>
  <c r="W11" i="185"/>
  <c r="E12" i="185"/>
  <c r="I12" i="185"/>
  <c r="M12" i="185"/>
  <c r="V12" i="185"/>
  <c r="W12" i="185"/>
  <c r="E13" i="185"/>
  <c r="E14" i="185"/>
  <c r="E15" i="185"/>
  <c r="E26" i="185" s="1"/>
  <c r="E27" i="185" s="1"/>
  <c r="F27" i="185" s="1"/>
  <c r="E16" i="185"/>
  <c r="E17" i="185"/>
  <c r="E18" i="185"/>
  <c r="E19" i="185"/>
  <c r="E20" i="185"/>
  <c r="E21" i="185"/>
  <c r="E22" i="185"/>
  <c r="E23" i="185"/>
  <c r="E24" i="185"/>
  <c r="E25" i="185"/>
  <c r="C27" i="185"/>
  <c r="G33" i="185"/>
  <c r="F36" i="185"/>
  <c r="F11" i="185" l="1"/>
  <c r="F18" i="185"/>
  <c r="U6" i="186"/>
  <c r="X6" i="186" s="1"/>
  <c r="Y6" i="186" s="1"/>
  <c r="Z6" i="186" s="1"/>
  <c r="Q6" i="186" s="1"/>
  <c r="U10" i="186"/>
  <c r="X10" i="186" s="1"/>
  <c r="Y10" i="186" s="1"/>
  <c r="Z10" i="186" s="1"/>
  <c r="Q10" i="186" s="1"/>
  <c r="F22" i="185"/>
  <c r="F14" i="185"/>
  <c r="N4" i="185"/>
  <c r="P4" i="185" s="1"/>
  <c r="R4" i="185" s="1"/>
  <c r="F24" i="185"/>
  <c r="F20" i="185"/>
  <c r="F16" i="185"/>
  <c r="N10" i="185"/>
  <c r="N8" i="185"/>
  <c r="P8" i="185" s="1"/>
  <c r="R8" i="185" s="1"/>
  <c r="N6" i="185"/>
  <c r="S5" i="187"/>
  <c r="S6" i="187"/>
  <c r="S8" i="187"/>
  <c r="S10" i="187"/>
  <c r="G25" i="187"/>
  <c r="S4" i="187"/>
  <c r="S7" i="187"/>
  <c r="S9" i="187"/>
  <c r="S11" i="187"/>
  <c r="S12" i="187"/>
  <c r="F31" i="187"/>
  <c r="G12" i="186"/>
  <c r="G13" i="186" s="1"/>
  <c r="G14" i="186" s="1"/>
  <c r="G15" i="186" s="1"/>
  <c r="G16" i="186" s="1"/>
  <c r="G17" i="186" s="1"/>
  <c r="G18" i="186" s="1"/>
  <c r="G19" i="186" s="1"/>
  <c r="G20" i="186" s="1"/>
  <c r="G21" i="186" s="1"/>
  <c r="G22" i="186" s="1"/>
  <c r="G23" i="186" s="1"/>
  <c r="G24" i="186" s="1"/>
  <c r="F26" i="186"/>
  <c r="P7" i="186"/>
  <c r="R7" i="186" s="1"/>
  <c r="U7" i="186"/>
  <c r="X7" i="186" s="1"/>
  <c r="Y7" i="186" s="1"/>
  <c r="Z7" i="186" s="1"/>
  <c r="Q7" i="186" s="1"/>
  <c r="P9" i="186"/>
  <c r="R9" i="186" s="1"/>
  <c r="U9" i="186"/>
  <c r="X9" i="186" s="1"/>
  <c r="Y9" i="186" s="1"/>
  <c r="Z9" i="186" s="1"/>
  <c r="Q9" i="186" s="1"/>
  <c r="P11" i="186"/>
  <c r="R11" i="186" s="1"/>
  <c r="U11" i="186"/>
  <c r="X11" i="186" s="1"/>
  <c r="Y11" i="186" s="1"/>
  <c r="Z11" i="186" s="1"/>
  <c r="Q11" i="186" s="1"/>
  <c r="P12" i="186"/>
  <c r="R12" i="186" s="1"/>
  <c r="U12" i="186"/>
  <c r="X12" i="186" s="1"/>
  <c r="Y12" i="186" s="1"/>
  <c r="Z12" i="186" s="1"/>
  <c r="Q12" i="186" s="1"/>
  <c r="P5" i="185"/>
  <c r="U5" i="185"/>
  <c r="X5" i="185" s="1"/>
  <c r="Y5" i="185" s="1"/>
  <c r="Z5" i="185" s="1"/>
  <c r="Q5" i="185" s="1"/>
  <c r="P10" i="185"/>
  <c r="R10" i="185" s="1"/>
  <c r="U10" i="185"/>
  <c r="X10" i="185" s="1"/>
  <c r="Y10" i="185" s="1"/>
  <c r="Z10" i="185" s="1"/>
  <c r="Q10" i="185" s="1"/>
  <c r="P6" i="185"/>
  <c r="R6" i="185" s="1"/>
  <c r="U6" i="185"/>
  <c r="X6" i="185" s="1"/>
  <c r="Y6" i="185" s="1"/>
  <c r="Z6" i="185" s="1"/>
  <c r="Q6" i="185" s="1"/>
  <c r="F21" i="185"/>
  <c r="F19" i="185"/>
  <c r="F17" i="185"/>
  <c r="F15" i="185"/>
  <c r="F13" i="185"/>
  <c r="N12" i="185"/>
  <c r="F12" i="185"/>
  <c r="N11" i="185"/>
  <c r="N9" i="185"/>
  <c r="N7" i="185"/>
  <c r="R5" i="185"/>
  <c r="F25" i="185"/>
  <c r="F23" i="185"/>
  <c r="I4" i="184"/>
  <c r="M4" i="184"/>
  <c r="V4" i="184"/>
  <c r="W4" i="184"/>
  <c r="I5" i="184"/>
  <c r="M5" i="184"/>
  <c r="V5" i="184"/>
  <c r="W5" i="184"/>
  <c r="AE5" i="184"/>
  <c r="I6" i="184"/>
  <c r="M6" i="184"/>
  <c r="V6" i="184"/>
  <c r="W6" i="184"/>
  <c r="I7" i="184"/>
  <c r="M7" i="184"/>
  <c r="V7" i="184"/>
  <c r="W7" i="184"/>
  <c r="I8" i="184"/>
  <c r="M8" i="184"/>
  <c r="V8" i="184"/>
  <c r="W8" i="184"/>
  <c r="I9" i="184"/>
  <c r="M9" i="184"/>
  <c r="V9" i="184"/>
  <c r="W9" i="184"/>
  <c r="I10" i="184"/>
  <c r="M10" i="184"/>
  <c r="V10" i="184"/>
  <c r="W10" i="184"/>
  <c r="E11" i="184"/>
  <c r="I11" i="184"/>
  <c r="M11" i="184"/>
  <c r="V11" i="184"/>
  <c r="W11" i="184"/>
  <c r="E12" i="184"/>
  <c r="E26" i="184" s="1"/>
  <c r="F20" i="184" s="1"/>
  <c r="I12" i="184"/>
  <c r="M12" i="184"/>
  <c r="V12" i="184"/>
  <c r="W12" i="184"/>
  <c r="E13" i="184"/>
  <c r="E14" i="184"/>
  <c r="E15" i="184"/>
  <c r="E16" i="184"/>
  <c r="E17" i="184"/>
  <c r="E18" i="184"/>
  <c r="E19" i="184"/>
  <c r="E20" i="184"/>
  <c r="E21" i="184"/>
  <c r="E22" i="184"/>
  <c r="E23" i="184"/>
  <c r="E24" i="184"/>
  <c r="E25" i="184"/>
  <c r="C27" i="184"/>
  <c r="G33" i="184"/>
  <c r="N4" i="184" s="1"/>
  <c r="F36" i="184"/>
  <c r="N8" i="184" l="1"/>
  <c r="F23" i="184"/>
  <c r="F15" i="184"/>
  <c r="F18" i="184"/>
  <c r="F14" i="184"/>
  <c r="U8" i="185"/>
  <c r="X8" i="185" s="1"/>
  <c r="Y8" i="185" s="1"/>
  <c r="Z8" i="185" s="1"/>
  <c r="Q8" i="185" s="1"/>
  <c r="U4" i="185"/>
  <c r="X4" i="185" s="1"/>
  <c r="Y4" i="185" s="1"/>
  <c r="Z4" i="185" s="1"/>
  <c r="Q4" i="185" s="1"/>
  <c r="F24" i="184"/>
  <c r="F16" i="184"/>
  <c r="N10" i="184"/>
  <c r="N6" i="184"/>
  <c r="P6" i="184" s="1"/>
  <c r="R6" i="184" s="1"/>
  <c r="F19" i="184"/>
  <c r="F11" i="184"/>
  <c r="N5" i="184"/>
  <c r="F25" i="184"/>
  <c r="F21" i="184"/>
  <c r="F13" i="184"/>
  <c r="S5" i="186"/>
  <c r="S6" i="186"/>
  <c r="S8" i="186"/>
  <c r="S10" i="186"/>
  <c r="G25" i="186"/>
  <c r="S4" i="186"/>
  <c r="S7" i="186"/>
  <c r="S9" i="186"/>
  <c r="S11" i="186"/>
  <c r="S12" i="186"/>
  <c r="F31" i="186"/>
  <c r="G12" i="185"/>
  <c r="G13" i="185" s="1"/>
  <c r="G14" i="185" s="1"/>
  <c r="G15" i="185" s="1"/>
  <c r="G16" i="185" s="1"/>
  <c r="G17" i="185" s="1"/>
  <c r="G18" i="185" s="1"/>
  <c r="G19" i="185" s="1"/>
  <c r="G20" i="185" s="1"/>
  <c r="G21" i="185" s="1"/>
  <c r="G22" i="185" s="1"/>
  <c r="G23" i="185" s="1"/>
  <c r="G24" i="185" s="1"/>
  <c r="F26" i="185"/>
  <c r="P7" i="185"/>
  <c r="R7" i="185" s="1"/>
  <c r="U7" i="185"/>
  <c r="X7" i="185" s="1"/>
  <c r="Y7" i="185" s="1"/>
  <c r="Z7" i="185" s="1"/>
  <c r="Q7" i="185" s="1"/>
  <c r="P9" i="185"/>
  <c r="R9" i="185" s="1"/>
  <c r="U9" i="185"/>
  <c r="X9" i="185" s="1"/>
  <c r="Y9" i="185" s="1"/>
  <c r="Z9" i="185" s="1"/>
  <c r="Q9" i="185" s="1"/>
  <c r="P11" i="185"/>
  <c r="R11" i="185" s="1"/>
  <c r="U11" i="185"/>
  <c r="X11" i="185" s="1"/>
  <c r="Y11" i="185" s="1"/>
  <c r="Z11" i="185" s="1"/>
  <c r="Q11" i="185" s="1"/>
  <c r="P12" i="185"/>
  <c r="R12" i="185" s="1"/>
  <c r="U12" i="185"/>
  <c r="X12" i="185" s="1"/>
  <c r="Y12" i="185" s="1"/>
  <c r="Z12" i="185" s="1"/>
  <c r="Q12" i="185" s="1"/>
  <c r="P4" i="184"/>
  <c r="U4" i="184"/>
  <c r="X4" i="184" s="1"/>
  <c r="Y4" i="184" s="1"/>
  <c r="Z4" i="184" s="1"/>
  <c r="P10" i="184"/>
  <c r="U10" i="184"/>
  <c r="X10" i="184" s="1"/>
  <c r="Y10" i="184" s="1"/>
  <c r="Z10" i="184" s="1"/>
  <c r="Q10" i="184" s="1"/>
  <c r="P8" i="184"/>
  <c r="R8" i="184" s="1"/>
  <c r="U8" i="184"/>
  <c r="X8" i="184" s="1"/>
  <c r="Y8" i="184" s="1"/>
  <c r="Z8" i="184" s="1"/>
  <c r="Q8" i="184" s="1"/>
  <c r="R4" i="184"/>
  <c r="Q4" i="184"/>
  <c r="P5" i="184"/>
  <c r="U5" i="184"/>
  <c r="X5" i="184" s="1"/>
  <c r="Y5" i="184" s="1"/>
  <c r="Z5" i="184" s="1"/>
  <c r="Q5" i="184" s="1"/>
  <c r="F17" i="184"/>
  <c r="N12" i="184"/>
  <c r="F12" i="184"/>
  <c r="N11" i="184"/>
  <c r="R10" i="184"/>
  <c r="N9" i="184"/>
  <c r="N7" i="184"/>
  <c r="R5" i="184"/>
  <c r="E27" i="184"/>
  <c r="F27" i="184" s="1"/>
  <c r="F22" i="184"/>
  <c r="I4" i="183"/>
  <c r="M4" i="183"/>
  <c r="V4" i="183"/>
  <c r="W4" i="183"/>
  <c r="I5" i="183"/>
  <c r="M5" i="183"/>
  <c r="N5" i="183" s="1"/>
  <c r="V5" i="183"/>
  <c r="W5" i="183"/>
  <c r="AE5" i="183"/>
  <c r="I6" i="183"/>
  <c r="M6" i="183"/>
  <c r="V6" i="183"/>
  <c r="W6" i="183"/>
  <c r="I7" i="183"/>
  <c r="M7" i="183"/>
  <c r="V7" i="183"/>
  <c r="W7" i="183"/>
  <c r="I8" i="183"/>
  <c r="M8" i="183"/>
  <c r="V8" i="183"/>
  <c r="W8" i="183"/>
  <c r="I9" i="183"/>
  <c r="M9" i="183"/>
  <c r="V9" i="183"/>
  <c r="W9" i="183"/>
  <c r="I10" i="183"/>
  <c r="M10" i="183"/>
  <c r="V10" i="183"/>
  <c r="W10" i="183"/>
  <c r="E11" i="183"/>
  <c r="I11" i="183"/>
  <c r="M11" i="183"/>
  <c r="V11" i="183"/>
  <c r="W11" i="183"/>
  <c r="E12" i="183"/>
  <c r="I12" i="183"/>
  <c r="M12" i="183"/>
  <c r="N12" i="183" s="1"/>
  <c r="V12" i="183"/>
  <c r="W12" i="183"/>
  <c r="E13" i="183"/>
  <c r="E14" i="183"/>
  <c r="E15" i="183"/>
  <c r="E16" i="183"/>
  <c r="E17" i="183"/>
  <c r="E18" i="183"/>
  <c r="E19" i="183"/>
  <c r="E20" i="183"/>
  <c r="E21" i="183"/>
  <c r="E22" i="183"/>
  <c r="E23" i="183"/>
  <c r="E24" i="183"/>
  <c r="E25" i="183"/>
  <c r="C27" i="183"/>
  <c r="G33" i="183"/>
  <c r="F36" i="183"/>
  <c r="E26" i="183" l="1"/>
  <c r="F11" i="183" s="1"/>
  <c r="F18" i="183"/>
  <c r="F13" i="183"/>
  <c r="N11" i="183"/>
  <c r="U6" i="184"/>
  <c r="X6" i="184" s="1"/>
  <c r="Y6" i="184" s="1"/>
  <c r="Z6" i="184" s="1"/>
  <c r="Q6" i="184" s="1"/>
  <c r="F19" i="183"/>
  <c r="F22" i="183"/>
  <c r="F25" i="183"/>
  <c r="N4" i="183"/>
  <c r="U4" i="183" s="1"/>
  <c r="X4" i="183" s="1"/>
  <c r="Y4" i="183" s="1"/>
  <c r="Z4" i="183" s="1"/>
  <c r="Q4" i="183" s="1"/>
  <c r="F24" i="183"/>
  <c r="F16" i="183"/>
  <c r="F12" i="183"/>
  <c r="N10" i="183"/>
  <c r="P10" i="183" s="1"/>
  <c r="R10" i="183" s="1"/>
  <c r="N8" i="183"/>
  <c r="N6" i="183"/>
  <c r="S5" i="185"/>
  <c r="S6" i="185"/>
  <c r="S8" i="185"/>
  <c r="S10" i="185"/>
  <c r="G25" i="185"/>
  <c r="S4" i="185"/>
  <c r="S7" i="185"/>
  <c r="S9" i="185"/>
  <c r="S11" i="185"/>
  <c r="S12" i="185"/>
  <c r="F31" i="185"/>
  <c r="P7" i="184"/>
  <c r="R7" i="184" s="1"/>
  <c r="U7" i="184"/>
  <c r="X7" i="184" s="1"/>
  <c r="Y7" i="184" s="1"/>
  <c r="Z7" i="184" s="1"/>
  <c r="Q7" i="184" s="1"/>
  <c r="P9" i="184"/>
  <c r="R9" i="184" s="1"/>
  <c r="U9" i="184"/>
  <c r="X9" i="184" s="1"/>
  <c r="Y9" i="184" s="1"/>
  <c r="Z9" i="184" s="1"/>
  <c r="Q9" i="184" s="1"/>
  <c r="P11" i="184"/>
  <c r="R11" i="184" s="1"/>
  <c r="U11" i="184"/>
  <c r="X11" i="184" s="1"/>
  <c r="Y11" i="184" s="1"/>
  <c r="Z11" i="184" s="1"/>
  <c r="Q11" i="184" s="1"/>
  <c r="P12" i="184"/>
  <c r="R12" i="184" s="1"/>
  <c r="U12" i="184"/>
  <c r="X12" i="184" s="1"/>
  <c r="Y12" i="184" s="1"/>
  <c r="Z12" i="184" s="1"/>
  <c r="Q12" i="184" s="1"/>
  <c r="G12" i="184"/>
  <c r="G13" i="184" s="1"/>
  <c r="G14" i="184" s="1"/>
  <c r="G15" i="184" s="1"/>
  <c r="G16" i="184" s="1"/>
  <c r="G17" i="184" s="1"/>
  <c r="G18" i="184" s="1"/>
  <c r="G19" i="184" s="1"/>
  <c r="G20" i="184" s="1"/>
  <c r="G21" i="184" s="1"/>
  <c r="G22" i="184" s="1"/>
  <c r="G23" i="184" s="1"/>
  <c r="G24" i="184" s="1"/>
  <c r="F26" i="184"/>
  <c r="P4" i="183"/>
  <c r="R4" i="183" s="1"/>
  <c r="P12" i="183"/>
  <c r="U12" i="183"/>
  <c r="X12" i="183" s="1"/>
  <c r="Y12" i="183" s="1"/>
  <c r="Z12" i="183" s="1"/>
  <c r="Q12" i="183" s="1"/>
  <c r="G12" i="183"/>
  <c r="G13" i="183" s="1"/>
  <c r="P8" i="183"/>
  <c r="U8" i="183"/>
  <c r="X8" i="183" s="1"/>
  <c r="Y8" i="183" s="1"/>
  <c r="Z8" i="183" s="1"/>
  <c r="P6" i="183"/>
  <c r="U6" i="183"/>
  <c r="X6" i="183" s="1"/>
  <c r="Y6" i="183" s="1"/>
  <c r="Z6" i="183" s="1"/>
  <c r="Q6" i="183" s="1"/>
  <c r="P11" i="183"/>
  <c r="U11" i="183"/>
  <c r="X11" i="183" s="1"/>
  <c r="Y11" i="183" s="1"/>
  <c r="Z11" i="183" s="1"/>
  <c r="Q11" i="183" s="1"/>
  <c r="P5" i="183"/>
  <c r="R5" i="183" s="1"/>
  <c r="U5" i="183"/>
  <c r="X5" i="183" s="1"/>
  <c r="Y5" i="183" s="1"/>
  <c r="Z5" i="183" s="1"/>
  <c r="Q5" i="183" s="1"/>
  <c r="Q8" i="183"/>
  <c r="F23" i="183"/>
  <c r="F21" i="183"/>
  <c r="F17" i="183"/>
  <c r="N9" i="183"/>
  <c r="R8" i="183"/>
  <c r="N7" i="183"/>
  <c r="R6" i="183"/>
  <c r="E27" i="183"/>
  <c r="F27" i="183" s="1"/>
  <c r="R12" i="183"/>
  <c r="R11" i="183"/>
  <c r="I4" i="182"/>
  <c r="M4" i="182"/>
  <c r="V4" i="182"/>
  <c r="W4" i="182"/>
  <c r="I5" i="182"/>
  <c r="M5" i="182"/>
  <c r="V5" i="182"/>
  <c r="W5" i="182"/>
  <c r="AE5" i="182"/>
  <c r="I6" i="182"/>
  <c r="M6" i="182"/>
  <c r="V6" i="182"/>
  <c r="W6" i="182"/>
  <c r="I7" i="182"/>
  <c r="M7" i="182"/>
  <c r="V7" i="182"/>
  <c r="W7" i="182"/>
  <c r="I8" i="182"/>
  <c r="M8" i="182"/>
  <c r="V8" i="182"/>
  <c r="W8" i="182"/>
  <c r="I9" i="182"/>
  <c r="M9" i="182"/>
  <c r="V9" i="182"/>
  <c r="W9" i="182"/>
  <c r="I10" i="182"/>
  <c r="M10" i="182"/>
  <c r="V10" i="182"/>
  <c r="W10" i="182"/>
  <c r="E11" i="182"/>
  <c r="I11" i="182"/>
  <c r="M11" i="182"/>
  <c r="V11" i="182"/>
  <c r="W11" i="182"/>
  <c r="E12" i="182"/>
  <c r="E26" i="182" s="1"/>
  <c r="F11" i="182" s="1"/>
  <c r="I12" i="182"/>
  <c r="M12" i="182"/>
  <c r="V12" i="182"/>
  <c r="W12" i="182"/>
  <c r="E13" i="182"/>
  <c r="E14" i="182"/>
  <c r="E15" i="182"/>
  <c r="E16" i="182"/>
  <c r="E17" i="182"/>
  <c r="E18" i="182"/>
  <c r="E19" i="182"/>
  <c r="E20" i="182"/>
  <c r="E21" i="182"/>
  <c r="E22" i="182"/>
  <c r="E23" i="182"/>
  <c r="E24" i="182"/>
  <c r="E25" i="182"/>
  <c r="C27" i="182"/>
  <c r="G33" i="182"/>
  <c r="N5" i="182" s="1"/>
  <c r="F36" i="182"/>
  <c r="F24" i="182" l="1"/>
  <c r="N10" i="182"/>
  <c r="N8" i="182"/>
  <c r="F15" i="182"/>
  <c r="U10" i="183"/>
  <c r="X10" i="183" s="1"/>
  <c r="Y10" i="183" s="1"/>
  <c r="Z10" i="183" s="1"/>
  <c r="Q10" i="183" s="1"/>
  <c r="F20" i="182"/>
  <c r="N6" i="182"/>
  <c r="F19" i="182"/>
  <c r="F22" i="182"/>
  <c r="N12" i="182"/>
  <c r="P12" i="182" s="1"/>
  <c r="R12" i="182" s="1"/>
  <c r="F25" i="182"/>
  <c r="F21" i="182"/>
  <c r="F17" i="182"/>
  <c r="F13" i="182"/>
  <c r="N11" i="182"/>
  <c r="F20" i="183"/>
  <c r="F14" i="183"/>
  <c r="G14" i="183" s="1"/>
  <c r="G15" i="183" s="1"/>
  <c r="G16" i="183" s="1"/>
  <c r="G17" i="183" s="1"/>
  <c r="G18" i="183" s="1"/>
  <c r="G19" i="183" s="1"/>
  <c r="G20" i="183" s="1"/>
  <c r="G21" i="183" s="1"/>
  <c r="G22" i="183" s="1"/>
  <c r="G23" i="183" s="1"/>
  <c r="G24" i="183" s="1"/>
  <c r="F15" i="183"/>
  <c r="F26" i="183" s="1"/>
  <c r="S5" i="184"/>
  <c r="S6" i="184"/>
  <c r="S8" i="184"/>
  <c r="S10" i="184"/>
  <c r="G25" i="184"/>
  <c r="S4" i="184"/>
  <c r="S7" i="184"/>
  <c r="S9" i="184"/>
  <c r="S11" i="184"/>
  <c r="S12" i="184"/>
  <c r="F31" i="184"/>
  <c r="P7" i="183"/>
  <c r="R7" i="183" s="1"/>
  <c r="U7" i="183"/>
  <c r="X7" i="183" s="1"/>
  <c r="Y7" i="183" s="1"/>
  <c r="Z7" i="183" s="1"/>
  <c r="Q7" i="183" s="1"/>
  <c r="P9" i="183"/>
  <c r="R9" i="183" s="1"/>
  <c r="U9" i="183"/>
  <c r="X9" i="183" s="1"/>
  <c r="Y9" i="183" s="1"/>
  <c r="Z9" i="183" s="1"/>
  <c r="Q9" i="183" s="1"/>
  <c r="P5" i="182"/>
  <c r="U5" i="182"/>
  <c r="X5" i="182" s="1"/>
  <c r="Y5" i="182" s="1"/>
  <c r="Z5" i="182" s="1"/>
  <c r="Q5" i="182" s="1"/>
  <c r="U12" i="182"/>
  <c r="X12" i="182" s="1"/>
  <c r="Y12" i="182" s="1"/>
  <c r="Z12" i="182" s="1"/>
  <c r="Q12" i="182" s="1"/>
  <c r="P10" i="182"/>
  <c r="U10" i="182"/>
  <c r="X10" i="182" s="1"/>
  <c r="Y10" i="182" s="1"/>
  <c r="Z10" i="182" s="1"/>
  <c r="Q10" i="182" s="1"/>
  <c r="P8" i="182"/>
  <c r="R8" i="182" s="1"/>
  <c r="U8" i="182"/>
  <c r="X8" i="182" s="1"/>
  <c r="Y8" i="182" s="1"/>
  <c r="Z8" i="182" s="1"/>
  <c r="Q8" i="182" s="1"/>
  <c r="P6" i="182"/>
  <c r="U6" i="182"/>
  <c r="X6" i="182" s="1"/>
  <c r="Y6" i="182" s="1"/>
  <c r="Z6" i="182" s="1"/>
  <c r="Q6" i="182" s="1"/>
  <c r="P11" i="182"/>
  <c r="U11" i="182"/>
  <c r="X11" i="182" s="1"/>
  <c r="Y11" i="182" s="1"/>
  <c r="Z11" i="182" s="1"/>
  <c r="Q11" i="182" s="1"/>
  <c r="F23" i="182"/>
  <c r="F12" i="182"/>
  <c r="R10" i="182"/>
  <c r="N9" i="182"/>
  <c r="N7" i="182"/>
  <c r="R6" i="182"/>
  <c r="R5" i="182"/>
  <c r="N4" i="182"/>
  <c r="E27" i="182"/>
  <c r="F27" i="182" s="1"/>
  <c r="F18" i="182"/>
  <c r="F16" i="182"/>
  <c r="F14" i="182"/>
  <c r="R11" i="182"/>
  <c r="I4" i="181"/>
  <c r="M4" i="181"/>
  <c r="V4" i="181"/>
  <c r="W4" i="181"/>
  <c r="I5" i="181"/>
  <c r="M5" i="181"/>
  <c r="V5" i="181"/>
  <c r="W5" i="181"/>
  <c r="AE5" i="181"/>
  <c r="I6" i="181"/>
  <c r="M6" i="181"/>
  <c r="V6" i="181"/>
  <c r="W6" i="181"/>
  <c r="I7" i="181"/>
  <c r="M7" i="181"/>
  <c r="N7" i="181" s="1"/>
  <c r="V7" i="181"/>
  <c r="W7" i="181"/>
  <c r="I8" i="181"/>
  <c r="M8" i="181"/>
  <c r="V8" i="181"/>
  <c r="W8" i="181"/>
  <c r="I9" i="181"/>
  <c r="M9" i="181"/>
  <c r="N9" i="181" s="1"/>
  <c r="V9" i="181"/>
  <c r="W9" i="181"/>
  <c r="I10" i="181"/>
  <c r="M10" i="181"/>
  <c r="V10" i="181"/>
  <c r="W10" i="181"/>
  <c r="E11" i="181"/>
  <c r="I11" i="181"/>
  <c r="M11" i="181"/>
  <c r="N11" i="181" s="1"/>
  <c r="V11" i="181"/>
  <c r="W11" i="181"/>
  <c r="E12" i="181"/>
  <c r="I12" i="181"/>
  <c r="M12" i="181"/>
  <c r="V12" i="181"/>
  <c r="W12" i="181"/>
  <c r="E13" i="181"/>
  <c r="E14" i="181"/>
  <c r="E15" i="181"/>
  <c r="E16" i="181"/>
  <c r="E17" i="181"/>
  <c r="E18" i="181"/>
  <c r="E19" i="181"/>
  <c r="E20" i="181"/>
  <c r="E21" i="181"/>
  <c r="E22" i="181"/>
  <c r="E23" i="181"/>
  <c r="E24" i="181"/>
  <c r="E25" i="181"/>
  <c r="C27" i="181"/>
  <c r="G33" i="181"/>
  <c r="N5" i="181" s="1"/>
  <c r="F36" i="181"/>
  <c r="F19" i="181" l="1"/>
  <c r="N4" i="181"/>
  <c r="P4" i="181" s="1"/>
  <c r="R4" i="181" s="1"/>
  <c r="F12" i="181"/>
  <c r="F23" i="181"/>
  <c r="E26" i="181"/>
  <c r="N12" i="181"/>
  <c r="P12" i="181" s="1"/>
  <c r="R12" i="181" s="1"/>
  <c r="S5" i="183"/>
  <c r="S6" i="183"/>
  <c r="S8" i="183"/>
  <c r="S10" i="183"/>
  <c r="G25" i="183"/>
  <c r="S4" i="183"/>
  <c r="S7" i="183"/>
  <c r="S9" i="183"/>
  <c r="S11" i="183"/>
  <c r="S12" i="183"/>
  <c r="F31" i="183"/>
  <c r="P7" i="182"/>
  <c r="R7" i="182" s="1"/>
  <c r="U7" i="182"/>
  <c r="X7" i="182" s="1"/>
  <c r="Y7" i="182" s="1"/>
  <c r="Z7" i="182" s="1"/>
  <c r="Q7" i="182" s="1"/>
  <c r="P9" i="182"/>
  <c r="R9" i="182" s="1"/>
  <c r="U9" i="182"/>
  <c r="X9" i="182" s="1"/>
  <c r="Y9" i="182" s="1"/>
  <c r="Z9" i="182" s="1"/>
  <c r="Q9" i="182" s="1"/>
  <c r="G12" i="182"/>
  <c r="G13" i="182" s="1"/>
  <c r="G14" i="182" s="1"/>
  <c r="G15" i="182" s="1"/>
  <c r="G16" i="182" s="1"/>
  <c r="G17" i="182" s="1"/>
  <c r="G18" i="182" s="1"/>
  <c r="G19" i="182" s="1"/>
  <c r="G20" i="182" s="1"/>
  <c r="G21" i="182" s="1"/>
  <c r="G22" i="182" s="1"/>
  <c r="G23" i="182" s="1"/>
  <c r="G24" i="182" s="1"/>
  <c r="F26" i="182"/>
  <c r="P4" i="182"/>
  <c r="R4" i="182" s="1"/>
  <c r="U4" i="182"/>
  <c r="X4" i="182" s="1"/>
  <c r="Y4" i="182" s="1"/>
  <c r="Z4" i="182" s="1"/>
  <c r="Q4" i="182" s="1"/>
  <c r="P5" i="181"/>
  <c r="U5" i="181"/>
  <c r="X5" i="181" s="1"/>
  <c r="Y5" i="181" s="1"/>
  <c r="Z5" i="181" s="1"/>
  <c r="G12" i="181"/>
  <c r="P9" i="181"/>
  <c r="R9" i="181" s="1"/>
  <c r="U9" i="181"/>
  <c r="X9" i="181" s="1"/>
  <c r="Y9" i="181" s="1"/>
  <c r="Z9" i="181" s="1"/>
  <c r="P7" i="181"/>
  <c r="U7" i="181"/>
  <c r="X7" i="181" s="1"/>
  <c r="Y7" i="181" s="1"/>
  <c r="Z7" i="181" s="1"/>
  <c r="Q5" i="181"/>
  <c r="P11" i="181"/>
  <c r="U11" i="181"/>
  <c r="X11" i="181" s="1"/>
  <c r="Y11" i="181" s="1"/>
  <c r="Z11" i="181" s="1"/>
  <c r="Q11" i="181" s="1"/>
  <c r="U4" i="181"/>
  <c r="X4" i="181" s="1"/>
  <c r="Y4" i="181" s="1"/>
  <c r="Z4" i="181" s="1"/>
  <c r="Q4" i="181" s="1"/>
  <c r="Q9" i="181"/>
  <c r="Q7" i="181"/>
  <c r="R5" i="181"/>
  <c r="F24" i="181"/>
  <c r="F22" i="181"/>
  <c r="F20" i="181"/>
  <c r="F18" i="181"/>
  <c r="F16" i="181"/>
  <c r="F14" i="181"/>
  <c r="R11" i="181"/>
  <c r="N10" i="181"/>
  <c r="N8" i="181"/>
  <c r="R7" i="181"/>
  <c r="N6" i="181"/>
  <c r="I4" i="180"/>
  <c r="M4" i="180"/>
  <c r="V4" i="180"/>
  <c r="W4" i="180"/>
  <c r="I5" i="180"/>
  <c r="M5" i="180"/>
  <c r="V5" i="180"/>
  <c r="W5" i="180"/>
  <c r="AE5" i="180"/>
  <c r="I6" i="180"/>
  <c r="M6" i="180"/>
  <c r="V6" i="180"/>
  <c r="W6" i="180"/>
  <c r="I7" i="180"/>
  <c r="M7" i="180"/>
  <c r="V7" i="180"/>
  <c r="W7" i="180"/>
  <c r="I8" i="180"/>
  <c r="M8" i="180"/>
  <c r="V8" i="180"/>
  <c r="W8" i="180"/>
  <c r="I9" i="180"/>
  <c r="M9" i="180"/>
  <c r="V9" i="180"/>
  <c r="W9" i="180"/>
  <c r="I10" i="180"/>
  <c r="M10" i="180"/>
  <c r="V10" i="180"/>
  <c r="W10" i="180"/>
  <c r="E11" i="180"/>
  <c r="I11" i="180"/>
  <c r="M11" i="180"/>
  <c r="V11" i="180"/>
  <c r="W11" i="180"/>
  <c r="E12" i="180"/>
  <c r="I12" i="180"/>
  <c r="M12" i="180"/>
  <c r="V12" i="180"/>
  <c r="W12" i="180"/>
  <c r="E13" i="180"/>
  <c r="E14" i="180"/>
  <c r="E15" i="180"/>
  <c r="E16" i="180"/>
  <c r="E17" i="180"/>
  <c r="E18" i="180"/>
  <c r="E19" i="180"/>
  <c r="E20" i="180"/>
  <c r="E21" i="180"/>
  <c r="E22" i="180"/>
  <c r="E23" i="180"/>
  <c r="E24" i="180"/>
  <c r="E25" i="180"/>
  <c r="C27" i="180"/>
  <c r="G33" i="180"/>
  <c r="N5" i="180" s="1"/>
  <c r="F36" i="180"/>
  <c r="N9" i="180" l="1"/>
  <c r="N7" i="180"/>
  <c r="P7" i="180" s="1"/>
  <c r="R7" i="180" s="1"/>
  <c r="F23" i="180"/>
  <c r="E26" i="180"/>
  <c r="F11" i="180" s="1"/>
  <c r="N12" i="180"/>
  <c r="P12" i="180" s="1"/>
  <c r="R12" i="180" s="1"/>
  <c r="U12" i="181"/>
  <c r="X12" i="181" s="1"/>
  <c r="Y12" i="181" s="1"/>
  <c r="Z12" i="181" s="1"/>
  <c r="Q12" i="181" s="1"/>
  <c r="F11" i="181"/>
  <c r="E27" i="181"/>
  <c r="F27" i="181" s="1"/>
  <c r="F13" i="181"/>
  <c r="F26" i="181" s="1"/>
  <c r="F17" i="181"/>
  <c r="N4" i="180"/>
  <c r="G13" i="181"/>
  <c r="G14" i="181" s="1"/>
  <c r="G15" i="181" s="1"/>
  <c r="G16" i="181" s="1"/>
  <c r="G17" i="181" s="1"/>
  <c r="G18" i="181" s="1"/>
  <c r="G19" i="181" s="1"/>
  <c r="G20" i="181" s="1"/>
  <c r="G21" i="181" s="1"/>
  <c r="G22" i="181" s="1"/>
  <c r="G23" i="181" s="1"/>
  <c r="G24" i="181" s="1"/>
  <c r="F17" i="180"/>
  <c r="F13" i="180"/>
  <c r="N11" i="180"/>
  <c r="F15" i="181"/>
  <c r="F21" i="181"/>
  <c r="F25" i="181"/>
  <c r="S5" i="182"/>
  <c r="S6" i="182"/>
  <c r="S8" i="182"/>
  <c r="S10" i="182"/>
  <c r="G25" i="182"/>
  <c r="S4" i="182"/>
  <c r="S7" i="182"/>
  <c r="S9" i="182"/>
  <c r="S11" i="182"/>
  <c r="S12" i="182"/>
  <c r="F31" i="182"/>
  <c r="P6" i="181"/>
  <c r="R6" i="181" s="1"/>
  <c r="U6" i="181"/>
  <c r="X6" i="181" s="1"/>
  <c r="Y6" i="181" s="1"/>
  <c r="Z6" i="181" s="1"/>
  <c r="Q6" i="181" s="1"/>
  <c r="P8" i="181"/>
  <c r="R8" i="181" s="1"/>
  <c r="U8" i="181"/>
  <c r="X8" i="181" s="1"/>
  <c r="Y8" i="181" s="1"/>
  <c r="Z8" i="181" s="1"/>
  <c r="Q8" i="181" s="1"/>
  <c r="P10" i="181"/>
  <c r="R10" i="181" s="1"/>
  <c r="U10" i="181"/>
  <c r="X10" i="181" s="1"/>
  <c r="Y10" i="181" s="1"/>
  <c r="Z10" i="181" s="1"/>
  <c r="Q10" i="181" s="1"/>
  <c r="P5" i="180"/>
  <c r="U5" i="180"/>
  <c r="X5" i="180" s="1"/>
  <c r="Y5" i="180" s="1"/>
  <c r="Z5" i="180" s="1"/>
  <c r="Q5" i="180" s="1"/>
  <c r="P9" i="180"/>
  <c r="R9" i="180" s="1"/>
  <c r="U9" i="180"/>
  <c r="X9" i="180" s="1"/>
  <c r="Y9" i="180" s="1"/>
  <c r="Z9" i="180" s="1"/>
  <c r="U7" i="180"/>
  <c r="X7" i="180" s="1"/>
  <c r="Y7" i="180" s="1"/>
  <c r="Z7" i="180" s="1"/>
  <c r="P11" i="180"/>
  <c r="U11" i="180"/>
  <c r="X11" i="180" s="1"/>
  <c r="Y11" i="180" s="1"/>
  <c r="Z11" i="180" s="1"/>
  <c r="Q11" i="180" s="1"/>
  <c r="P4" i="180"/>
  <c r="R4" i="180" s="1"/>
  <c r="U4" i="180"/>
  <c r="X4" i="180" s="1"/>
  <c r="Y4" i="180" s="1"/>
  <c r="Z4" i="180" s="1"/>
  <c r="Q4" i="180" s="1"/>
  <c r="Q9" i="180"/>
  <c r="Q7" i="180"/>
  <c r="R5" i="180"/>
  <c r="F22" i="180"/>
  <c r="F20" i="180"/>
  <c r="F14" i="180"/>
  <c r="R11" i="180"/>
  <c r="N10" i="180"/>
  <c r="N8" i="180"/>
  <c r="N6" i="180"/>
  <c r="I4" i="179"/>
  <c r="M4" i="179"/>
  <c r="N4" i="179" s="1"/>
  <c r="V4" i="179"/>
  <c r="W4" i="179"/>
  <c r="I5" i="179"/>
  <c r="M5" i="179"/>
  <c r="V5" i="179"/>
  <c r="W5" i="179"/>
  <c r="AE5" i="179"/>
  <c r="I6" i="179"/>
  <c r="M6" i="179"/>
  <c r="V6" i="179"/>
  <c r="W6" i="179"/>
  <c r="I7" i="179"/>
  <c r="M7" i="179"/>
  <c r="V7" i="179"/>
  <c r="W7" i="179"/>
  <c r="I8" i="179"/>
  <c r="M8" i="179"/>
  <c r="V8" i="179"/>
  <c r="W8" i="179"/>
  <c r="I9" i="179"/>
  <c r="M9" i="179"/>
  <c r="V9" i="179"/>
  <c r="W9" i="179"/>
  <c r="I10" i="179"/>
  <c r="M10" i="179"/>
  <c r="V10" i="179"/>
  <c r="W10" i="179"/>
  <c r="E11" i="179"/>
  <c r="I11" i="179"/>
  <c r="M11" i="179"/>
  <c r="V11" i="179"/>
  <c r="W11" i="179"/>
  <c r="E12" i="179"/>
  <c r="I12" i="179"/>
  <c r="M12" i="179"/>
  <c r="N12" i="179" s="1"/>
  <c r="V12" i="179"/>
  <c r="W12" i="179"/>
  <c r="E13" i="179"/>
  <c r="E14" i="179"/>
  <c r="E15" i="179"/>
  <c r="E16" i="179"/>
  <c r="E17" i="179"/>
  <c r="E18" i="179"/>
  <c r="E19" i="179"/>
  <c r="E20" i="179"/>
  <c r="E21" i="179"/>
  <c r="E22" i="179"/>
  <c r="E23" i="179"/>
  <c r="E24" i="179"/>
  <c r="E25" i="179"/>
  <c r="C27" i="179"/>
  <c r="G33" i="179"/>
  <c r="F36" i="179"/>
  <c r="E26" i="179" l="1"/>
  <c r="F11" i="179" s="1"/>
  <c r="F13" i="179"/>
  <c r="N11" i="179"/>
  <c r="F16" i="180"/>
  <c r="F24" i="180"/>
  <c r="U12" i="180"/>
  <c r="X12" i="180" s="1"/>
  <c r="Y12" i="180" s="1"/>
  <c r="Z12" i="180" s="1"/>
  <c r="Q12" i="180" s="1"/>
  <c r="F21" i="180"/>
  <c r="F15" i="180"/>
  <c r="F19" i="179"/>
  <c r="F22" i="179"/>
  <c r="N5" i="179"/>
  <c r="N9" i="179"/>
  <c r="P9" i="179" s="1"/>
  <c r="R9" i="179" s="1"/>
  <c r="N7" i="179"/>
  <c r="P7" i="179" s="1"/>
  <c r="R7" i="179" s="1"/>
  <c r="F18" i="180"/>
  <c r="E27" i="180"/>
  <c r="F27" i="180" s="1"/>
  <c r="F25" i="180"/>
  <c r="F19" i="180"/>
  <c r="F26" i="180" s="1"/>
  <c r="F12" i="180"/>
  <c r="G12" i="180" s="1"/>
  <c r="G13" i="180" s="1"/>
  <c r="S5" i="181"/>
  <c r="S6" i="181"/>
  <c r="S8" i="181"/>
  <c r="S10" i="181"/>
  <c r="G25" i="181"/>
  <c r="F31" i="181"/>
  <c r="S4" i="181"/>
  <c r="S7" i="181"/>
  <c r="S9" i="181"/>
  <c r="S11" i="181"/>
  <c r="S12" i="181"/>
  <c r="P6" i="180"/>
  <c r="R6" i="180" s="1"/>
  <c r="U6" i="180"/>
  <c r="X6" i="180" s="1"/>
  <c r="Y6" i="180" s="1"/>
  <c r="Z6" i="180" s="1"/>
  <c r="Q6" i="180" s="1"/>
  <c r="P8" i="180"/>
  <c r="R8" i="180" s="1"/>
  <c r="U8" i="180"/>
  <c r="X8" i="180" s="1"/>
  <c r="Y8" i="180" s="1"/>
  <c r="Z8" i="180" s="1"/>
  <c r="Q8" i="180" s="1"/>
  <c r="P10" i="180"/>
  <c r="R10" i="180" s="1"/>
  <c r="U10" i="180"/>
  <c r="X10" i="180" s="1"/>
  <c r="Y10" i="180" s="1"/>
  <c r="Z10" i="180" s="1"/>
  <c r="Q10" i="180" s="1"/>
  <c r="G14" i="180"/>
  <c r="G15" i="180" s="1"/>
  <c r="G16" i="180" s="1"/>
  <c r="G17" i="180" s="1"/>
  <c r="G18" i="180" s="1"/>
  <c r="P11" i="179"/>
  <c r="R11" i="179" s="1"/>
  <c r="U11" i="179"/>
  <c r="X11" i="179" s="1"/>
  <c r="Y11" i="179" s="1"/>
  <c r="Z11" i="179" s="1"/>
  <c r="Q11" i="179" s="1"/>
  <c r="P4" i="179"/>
  <c r="R4" i="179" s="1"/>
  <c r="U4" i="179"/>
  <c r="X4" i="179" s="1"/>
  <c r="Y4" i="179" s="1"/>
  <c r="Z4" i="179" s="1"/>
  <c r="Q4" i="179" s="1"/>
  <c r="P5" i="179"/>
  <c r="R5" i="179" s="1"/>
  <c r="U5" i="179"/>
  <c r="X5" i="179" s="1"/>
  <c r="Y5" i="179" s="1"/>
  <c r="Z5" i="179" s="1"/>
  <c r="P12" i="179"/>
  <c r="U12" i="179"/>
  <c r="X12" i="179" s="1"/>
  <c r="Y12" i="179" s="1"/>
  <c r="Z12" i="179" s="1"/>
  <c r="Q12" i="179" s="1"/>
  <c r="U7" i="179"/>
  <c r="X7" i="179" s="1"/>
  <c r="Y7" i="179" s="1"/>
  <c r="Z7" i="179" s="1"/>
  <c r="Q7" i="179" s="1"/>
  <c r="Q5" i="179"/>
  <c r="E27" i="179"/>
  <c r="F27" i="179" s="1"/>
  <c r="F18" i="179"/>
  <c r="F16" i="179"/>
  <c r="R12" i="179"/>
  <c r="N10" i="179"/>
  <c r="N8" i="179"/>
  <c r="N6" i="179"/>
  <c r="I4" i="178"/>
  <c r="M4" i="178"/>
  <c r="V4" i="178"/>
  <c r="W4" i="178"/>
  <c r="I5" i="178"/>
  <c r="M5" i="178"/>
  <c r="V5" i="178"/>
  <c r="W5" i="178"/>
  <c r="AE5" i="178"/>
  <c r="I6" i="178"/>
  <c r="M6" i="178"/>
  <c r="V6" i="178"/>
  <c r="W6" i="178"/>
  <c r="I7" i="178"/>
  <c r="M7" i="178"/>
  <c r="V7" i="178"/>
  <c r="W7" i="178"/>
  <c r="I8" i="178"/>
  <c r="M8" i="178"/>
  <c r="V8" i="178"/>
  <c r="W8" i="178"/>
  <c r="I9" i="178"/>
  <c r="M9" i="178"/>
  <c r="V9" i="178"/>
  <c r="W9" i="178"/>
  <c r="I10" i="178"/>
  <c r="M10" i="178"/>
  <c r="V10" i="178"/>
  <c r="W10" i="178"/>
  <c r="E11" i="178"/>
  <c r="I11" i="178"/>
  <c r="M11" i="178"/>
  <c r="V11" i="178"/>
  <c r="W11" i="178"/>
  <c r="E12" i="178"/>
  <c r="E26" i="178" s="1"/>
  <c r="E27" i="178" s="1"/>
  <c r="F27" i="178" s="1"/>
  <c r="I12" i="178"/>
  <c r="M12" i="178"/>
  <c r="V12" i="178"/>
  <c r="W12" i="178"/>
  <c r="E13" i="178"/>
  <c r="E14" i="178"/>
  <c r="E15" i="178"/>
  <c r="E16" i="178"/>
  <c r="E17" i="178"/>
  <c r="E18" i="178"/>
  <c r="E19" i="178"/>
  <c r="E20" i="178"/>
  <c r="E21" i="178"/>
  <c r="E22" i="178"/>
  <c r="E23" i="178"/>
  <c r="E24" i="178"/>
  <c r="E25" i="178"/>
  <c r="C27" i="178"/>
  <c r="G33" i="178"/>
  <c r="N4" i="178" s="1"/>
  <c r="F36" i="178"/>
  <c r="F20" i="178" l="1"/>
  <c r="N10" i="178"/>
  <c r="N6" i="178"/>
  <c r="P6" i="178" s="1"/>
  <c r="R6" i="178" s="1"/>
  <c r="F11" i="178"/>
  <c r="N5" i="178"/>
  <c r="F20" i="179"/>
  <c r="U9" i="179"/>
  <c r="X9" i="179" s="1"/>
  <c r="Y9" i="179" s="1"/>
  <c r="Z9" i="179" s="1"/>
  <c r="Q9" i="179" s="1"/>
  <c r="F12" i="179"/>
  <c r="G12" i="179" s="1"/>
  <c r="G13" i="179" s="1"/>
  <c r="G14" i="179" s="1"/>
  <c r="G15" i="179" s="1"/>
  <c r="G16" i="179" s="1"/>
  <c r="G17" i="179" s="1"/>
  <c r="G18" i="179" s="1"/>
  <c r="G19" i="179" s="1"/>
  <c r="G20" i="179" s="1"/>
  <c r="G21" i="179" s="1"/>
  <c r="G22" i="179" s="1"/>
  <c r="G23" i="179" s="1"/>
  <c r="G24" i="179" s="1"/>
  <c r="F21" i="179"/>
  <c r="F15" i="179"/>
  <c r="F24" i="178"/>
  <c r="F16" i="178"/>
  <c r="N8" i="178"/>
  <c r="G19" i="180"/>
  <c r="G20" i="180" s="1"/>
  <c r="G21" i="180" s="1"/>
  <c r="G22" i="180" s="1"/>
  <c r="G23" i="180" s="1"/>
  <c r="G24" i="180" s="1"/>
  <c r="S6" i="180" s="1"/>
  <c r="F17" i="179"/>
  <c r="F22" i="178"/>
  <c r="F18" i="178"/>
  <c r="F14" i="178"/>
  <c r="F14" i="179"/>
  <c r="F24" i="179"/>
  <c r="F25" i="179"/>
  <c r="F23" i="179"/>
  <c r="S5" i="180"/>
  <c r="G25" i="180"/>
  <c r="S11" i="180"/>
  <c r="P6" i="179"/>
  <c r="R6" i="179" s="1"/>
  <c r="U6" i="179"/>
  <c r="X6" i="179" s="1"/>
  <c r="Y6" i="179" s="1"/>
  <c r="Z6" i="179" s="1"/>
  <c r="Q6" i="179" s="1"/>
  <c r="P8" i="179"/>
  <c r="R8" i="179" s="1"/>
  <c r="U8" i="179"/>
  <c r="X8" i="179" s="1"/>
  <c r="Y8" i="179" s="1"/>
  <c r="Z8" i="179" s="1"/>
  <c r="Q8" i="179" s="1"/>
  <c r="P10" i="179"/>
  <c r="R10" i="179" s="1"/>
  <c r="U10" i="179"/>
  <c r="X10" i="179" s="1"/>
  <c r="Y10" i="179" s="1"/>
  <c r="Z10" i="179" s="1"/>
  <c r="Q10" i="179" s="1"/>
  <c r="P5" i="178"/>
  <c r="U5" i="178"/>
  <c r="X5" i="178" s="1"/>
  <c r="Y5" i="178" s="1"/>
  <c r="Z5" i="178" s="1"/>
  <c r="P4" i="178"/>
  <c r="U4" i="178"/>
  <c r="X4" i="178" s="1"/>
  <c r="Y4" i="178" s="1"/>
  <c r="Z4" i="178" s="1"/>
  <c r="Q4" i="178" s="1"/>
  <c r="P10" i="178"/>
  <c r="U10" i="178"/>
  <c r="X10" i="178" s="1"/>
  <c r="Y10" i="178" s="1"/>
  <c r="Z10" i="178" s="1"/>
  <c r="Q10" i="178" s="1"/>
  <c r="P8" i="178"/>
  <c r="R8" i="178" s="1"/>
  <c r="U8" i="178"/>
  <c r="X8" i="178" s="1"/>
  <c r="Y8" i="178" s="1"/>
  <c r="Z8" i="178" s="1"/>
  <c r="Q8" i="178" s="1"/>
  <c r="U6" i="178"/>
  <c r="X6" i="178" s="1"/>
  <c r="Y6" i="178" s="1"/>
  <c r="Z6" i="178" s="1"/>
  <c r="Q6" i="178" s="1"/>
  <c r="R4" i="178"/>
  <c r="Q5" i="178"/>
  <c r="F25" i="178"/>
  <c r="F23" i="178"/>
  <c r="F21" i="178"/>
  <c r="F19" i="178"/>
  <c r="F17" i="178"/>
  <c r="F15" i="178"/>
  <c r="F13" i="178"/>
  <c r="N12" i="178"/>
  <c r="F12" i="178"/>
  <c r="N11" i="178"/>
  <c r="R10" i="178"/>
  <c r="N9" i="178"/>
  <c r="N7" i="178"/>
  <c r="R5" i="178"/>
  <c r="I4" i="177"/>
  <c r="M4" i="177"/>
  <c r="V4" i="177"/>
  <c r="W4" i="177"/>
  <c r="I5" i="177"/>
  <c r="M5" i="177"/>
  <c r="V5" i="177"/>
  <c r="W5" i="177"/>
  <c r="AE5" i="177"/>
  <c r="I6" i="177"/>
  <c r="M6" i="177"/>
  <c r="V6" i="177"/>
  <c r="W6" i="177"/>
  <c r="I7" i="177"/>
  <c r="M7" i="177"/>
  <c r="V7" i="177"/>
  <c r="W7" i="177"/>
  <c r="I8" i="177"/>
  <c r="M8" i="177"/>
  <c r="V8" i="177"/>
  <c r="W8" i="177"/>
  <c r="I9" i="177"/>
  <c r="M9" i="177"/>
  <c r="V9" i="177"/>
  <c r="W9" i="177"/>
  <c r="I10" i="177"/>
  <c r="M10" i="177"/>
  <c r="V10" i="177"/>
  <c r="W10" i="177"/>
  <c r="E11" i="177"/>
  <c r="I11" i="177"/>
  <c r="M11" i="177"/>
  <c r="V11" i="177"/>
  <c r="W11" i="177"/>
  <c r="E12" i="177"/>
  <c r="E26" i="177" s="1"/>
  <c r="E27" i="177" s="1"/>
  <c r="F27" i="177" s="1"/>
  <c r="I12" i="177"/>
  <c r="M12" i="177"/>
  <c r="V12" i="177"/>
  <c r="W12" i="177"/>
  <c r="E13" i="177"/>
  <c r="E14" i="177"/>
  <c r="E15" i="177"/>
  <c r="E16" i="177"/>
  <c r="E17" i="177"/>
  <c r="E18" i="177"/>
  <c r="E19" i="177"/>
  <c r="E20" i="177"/>
  <c r="E21" i="177"/>
  <c r="E22" i="177"/>
  <c r="E23" i="177"/>
  <c r="E24" i="177"/>
  <c r="E25" i="177"/>
  <c r="C27" i="177"/>
  <c r="G33" i="177"/>
  <c r="N4" i="177" s="1"/>
  <c r="F36" i="177"/>
  <c r="F20" i="177" l="1"/>
  <c r="F16" i="177"/>
  <c r="N8" i="177"/>
  <c r="F26" i="179"/>
  <c r="F11" i="177"/>
  <c r="N5" i="177"/>
  <c r="F31" i="180"/>
  <c r="S7" i="180"/>
  <c r="S8" i="180"/>
  <c r="F24" i="177"/>
  <c r="N10" i="177"/>
  <c r="P10" i="177" s="1"/>
  <c r="R10" i="177" s="1"/>
  <c r="N6" i="177"/>
  <c r="P6" i="177" s="1"/>
  <c r="R6" i="177" s="1"/>
  <c r="S9" i="180"/>
  <c r="S10" i="180"/>
  <c r="F22" i="177"/>
  <c r="F18" i="177"/>
  <c r="F14" i="177"/>
  <c r="S12" i="180"/>
  <c r="S4" i="180"/>
  <c r="S5" i="179"/>
  <c r="S6" i="179"/>
  <c r="S8" i="179"/>
  <c r="S10" i="179"/>
  <c r="G25" i="179"/>
  <c r="S4" i="179"/>
  <c r="S7" i="179"/>
  <c r="S9" i="179"/>
  <c r="S11" i="179"/>
  <c r="S12" i="179"/>
  <c r="F31" i="179"/>
  <c r="G12" i="178"/>
  <c r="G13" i="178" s="1"/>
  <c r="G14" i="178" s="1"/>
  <c r="G15" i="178" s="1"/>
  <c r="G16" i="178" s="1"/>
  <c r="G17" i="178" s="1"/>
  <c r="G18" i="178" s="1"/>
  <c r="G19" i="178" s="1"/>
  <c r="G20" i="178" s="1"/>
  <c r="G21" i="178" s="1"/>
  <c r="G22" i="178" s="1"/>
  <c r="G23" i="178" s="1"/>
  <c r="G24" i="178" s="1"/>
  <c r="F26" i="178"/>
  <c r="P7" i="178"/>
  <c r="R7" i="178" s="1"/>
  <c r="U7" i="178"/>
  <c r="X7" i="178" s="1"/>
  <c r="Y7" i="178" s="1"/>
  <c r="Z7" i="178" s="1"/>
  <c r="Q7" i="178" s="1"/>
  <c r="P9" i="178"/>
  <c r="R9" i="178" s="1"/>
  <c r="U9" i="178"/>
  <c r="X9" i="178" s="1"/>
  <c r="Y9" i="178" s="1"/>
  <c r="Z9" i="178" s="1"/>
  <c r="Q9" i="178" s="1"/>
  <c r="P11" i="178"/>
  <c r="R11" i="178" s="1"/>
  <c r="U11" i="178"/>
  <c r="X11" i="178" s="1"/>
  <c r="Y11" i="178" s="1"/>
  <c r="Z11" i="178" s="1"/>
  <c r="Q11" i="178" s="1"/>
  <c r="P12" i="178"/>
  <c r="R12" i="178" s="1"/>
  <c r="U12" i="178"/>
  <c r="X12" i="178" s="1"/>
  <c r="Y12" i="178" s="1"/>
  <c r="Z12" i="178" s="1"/>
  <c r="Q12" i="178" s="1"/>
  <c r="P5" i="177"/>
  <c r="U5" i="177"/>
  <c r="X5" i="177" s="1"/>
  <c r="Y5" i="177" s="1"/>
  <c r="Z5" i="177" s="1"/>
  <c r="P4" i="177"/>
  <c r="U4" i="177"/>
  <c r="X4" i="177" s="1"/>
  <c r="Y4" i="177" s="1"/>
  <c r="Z4" i="177" s="1"/>
  <c r="Q4" i="177" s="1"/>
  <c r="P8" i="177"/>
  <c r="U8" i="177"/>
  <c r="X8" i="177" s="1"/>
  <c r="Y8" i="177" s="1"/>
  <c r="Z8" i="177" s="1"/>
  <c r="Q8" i="177" s="1"/>
  <c r="R4" i="177"/>
  <c r="Q5" i="177"/>
  <c r="F25" i="177"/>
  <c r="F23" i="177"/>
  <c r="F21" i="177"/>
  <c r="F19" i="177"/>
  <c r="F17" i="177"/>
  <c r="F15" i="177"/>
  <c r="F13" i="177"/>
  <c r="N12" i="177"/>
  <c r="F12" i="177"/>
  <c r="N11" i="177"/>
  <c r="N9" i="177"/>
  <c r="R8" i="177"/>
  <c r="N7" i="177"/>
  <c r="R5" i="177"/>
  <c r="I4" i="176"/>
  <c r="M4" i="176"/>
  <c r="V4" i="176"/>
  <c r="W4" i="176"/>
  <c r="I5" i="176"/>
  <c r="M5" i="176"/>
  <c r="V5" i="176"/>
  <c r="W5" i="176"/>
  <c r="AE5" i="176"/>
  <c r="I6" i="176"/>
  <c r="M6" i="176"/>
  <c r="V6" i="176"/>
  <c r="W6" i="176"/>
  <c r="I7" i="176"/>
  <c r="M7" i="176"/>
  <c r="V7" i="176"/>
  <c r="W7" i="176"/>
  <c r="I8" i="176"/>
  <c r="M8" i="176"/>
  <c r="V8" i="176"/>
  <c r="W8" i="176"/>
  <c r="I9" i="176"/>
  <c r="M9" i="176"/>
  <c r="V9" i="176"/>
  <c r="W9" i="176"/>
  <c r="I10" i="176"/>
  <c r="M10" i="176"/>
  <c r="V10" i="176"/>
  <c r="W10" i="176"/>
  <c r="E11" i="176"/>
  <c r="I11" i="176"/>
  <c r="M11" i="176"/>
  <c r="V11" i="176"/>
  <c r="W11" i="176"/>
  <c r="E12" i="176"/>
  <c r="I12" i="176"/>
  <c r="M12" i="176"/>
  <c r="V12" i="176"/>
  <c r="W12" i="176"/>
  <c r="E13" i="176"/>
  <c r="E14" i="176"/>
  <c r="E15" i="176"/>
  <c r="E16" i="176"/>
  <c r="E17" i="176"/>
  <c r="E18" i="176"/>
  <c r="E19" i="176"/>
  <c r="E20" i="176"/>
  <c r="E21" i="176"/>
  <c r="E22" i="176"/>
  <c r="E23" i="176"/>
  <c r="E24" i="176"/>
  <c r="E25" i="176"/>
  <c r="E26" i="176"/>
  <c r="F20" i="176" s="1"/>
  <c r="C27" i="176"/>
  <c r="G33" i="176"/>
  <c r="N5" i="176" s="1"/>
  <c r="F36" i="176"/>
  <c r="F18" i="176" l="1"/>
  <c r="F25" i="176"/>
  <c r="F17" i="176"/>
  <c r="N9" i="176"/>
  <c r="P9" i="176" s="1"/>
  <c r="R9" i="176" s="1"/>
  <c r="N7" i="176"/>
  <c r="N6" i="176"/>
  <c r="U6" i="177"/>
  <c r="X6" i="177" s="1"/>
  <c r="Y6" i="177" s="1"/>
  <c r="Z6" i="177" s="1"/>
  <c r="Q6" i="177" s="1"/>
  <c r="U10" i="177"/>
  <c r="X10" i="177" s="1"/>
  <c r="Y10" i="177" s="1"/>
  <c r="Z10" i="177" s="1"/>
  <c r="Q10" i="177" s="1"/>
  <c r="F22" i="176"/>
  <c r="F14" i="176"/>
  <c r="F21" i="176"/>
  <c r="F16" i="176"/>
  <c r="F23" i="176"/>
  <c r="F19" i="176"/>
  <c r="F11" i="176"/>
  <c r="N4" i="176"/>
  <c r="P4" i="176" s="1"/>
  <c r="R4" i="176" s="1"/>
  <c r="S5" i="178"/>
  <c r="S6" i="178"/>
  <c r="S8" i="178"/>
  <c r="S10" i="178"/>
  <c r="G25" i="178"/>
  <c r="S4" i="178"/>
  <c r="S7" i="178"/>
  <c r="S9" i="178"/>
  <c r="S11" i="178"/>
  <c r="S12" i="178"/>
  <c r="F31" i="178"/>
  <c r="G12" i="177"/>
  <c r="G13" i="177" s="1"/>
  <c r="G14" i="177" s="1"/>
  <c r="G15" i="177" s="1"/>
  <c r="G16" i="177" s="1"/>
  <c r="G17" i="177" s="1"/>
  <c r="G18" i="177" s="1"/>
  <c r="G19" i="177" s="1"/>
  <c r="G20" i="177" s="1"/>
  <c r="G21" i="177" s="1"/>
  <c r="G22" i="177" s="1"/>
  <c r="G23" i="177" s="1"/>
  <c r="G24" i="177" s="1"/>
  <c r="F26" i="177"/>
  <c r="P7" i="177"/>
  <c r="R7" i="177" s="1"/>
  <c r="U7" i="177"/>
  <c r="X7" i="177" s="1"/>
  <c r="Y7" i="177" s="1"/>
  <c r="Z7" i="177" s="1"/>
  <c r="Q7" i="177" s="1"/>
  <c r="P9" i="177"/>
  <c r="R9" i="177" s="1"/>
  <c r="U9" i="177"/>
  <c r="X9" i="177" s="1"/>
  <c r="Y9" i="177" s="1"/>
  <c r="Z9" i="177" s="1"/>
  <c r="Q9" i="177" s="1"/>
  <c r="P11" i="177"/>
  <c r="R11" i="177" s="1"/>
  <c r="U11" i="177"/>
  <c r="X11" i="177" s="1"/>
  <c r="Y11" i="177" s="1"/>
  <c r="Z11" i="177" s="1"/>
  <c r="Q11" i="177" s="1"/>
  <c r="P12" i="177"/>
  <c r="R12" i="177" s="1"/>
  <c r="U12" i="177"/>
  <c r="X12" i="177" s="1"/>
  <c r="Y12" i="177" s="1"/>
  <c r="Z12" i="177" s="1"/>
  <c r="Q12" i="177" s="1"/>
  <c r="P5" i="176"/>
  <c r="R5" i="176" s="1"/>
  <c r="U5" i="176"/>
  <c r="X5" i="176" s="1"/>
  <c r="Y5" i="176" s="1"/>
  <c r="Z5" i="176" s="1"/>
  <c r="P7" i="176"/>
  <c r="R7" i="176" s="1"/>
  <c r="U7" i="176"/>
  <c r="X7" i="176" s="1"/>
  <c r="Y7" i="176" s="1"/>
  <c r="Z7" i="176" s="1"/>
  <c r="Q7" i="176" s="1"/>
  <c r="P6" i="176"/>
  <c r="U6" i="176"/>
  <c r="X6" i="176" s="1"/>
  <c r="Y6" i="176" s="1"/>
  <c r="Z6" i="176" s="1"/>
  <c r="Q6" i="176" s="1"/>
  <c r="Q5" i="176"/>
  <c r="F15" i="176"/>
  <c r="F13" i="176"/>
  <c r="N12" i="176"/>
  <c r="F12" i="176"/>
  <c r="N11" i="176"/>
  <c r="R6" i="176"/>
  <c r="E27" i="176"/>
  <c r="F27" i="176" s="1"/>
  <c r="F24" i="176"/>
  <c r="N10" i="176"/>
  <c r="N8" i="176"/>
  <c r="I4" i="175"/>
  <c r="M4" i="175"/>
  <c r="V4" i="175"/>
  <c r="W4" i="175"/>
  <c r="I5" i="175"/>
  <c r="M5" i="175"/>
  <c r="V5" i="175"/>
  <c r="W5" i="175"/>
  <c r="AE5" i="175"/>
  <c r="I6" i="175"/>
  <c r="M6" i="175"/>
  <c r="V6" i="175"/>
  <c r="W6" i="175"/>
  <c r="I7" i="175"/>
  <c r="M7" i="175"/>
  <c r="V7" i="175"/>
  <c r="W7" i="175"/>
  <c r="I8" i="175"/>
  <c r="M8" i="175"/>
  <c r="V8" i="175"/>
  <c r="W8" i="175"/>
  <c r="I9" i="175"/>
  <c r="M9" i="175"/>
  <c r="V9" i="175"/>
  <c r="W9" i="175"/>
  <c r="I10" i="175"/>
  <c r="M10" i="175"/>
  <c r="V10" i="175"/>
  <c r="W10" i="175"/>
  <c r="E11" i="175"/>
  <c r="I11" i="175"/>
  <c r="M11" i="175"/>
  <c r="V11" i="175"/>
  <c r="W11" i="175"/>
  <c r="E12" i="175"/>
  <c r="I12" i="175"/>
  <c r="M12" i="175"/>
  <c r="N12" i="175" s="1"/>
  <c r="V12" i="175"/>
  <c r="W12" i="175"/>
  <c r="E13" i="175"/>
  <c r="E14" i="175"/>
  <c r="E15" i="175"/>
  <c r="E16" i="175"/>
  <c r="E17" i="175"/>
  <c r="E18" i="175"/>
  <c r="E19" i="175"/>
  <c r="E20" i="175"/>
  <c r="E21" i="175"/>
  <c r="E22" i="175"/>
  <c r="E23" i="175"/>
  <c r="E24" i="175"/>
  <c r="E25" i="175"/>
  <c r="E26" i="175"/>
  <c r="F14" i="175" s="1"/>
  <c r="C27" i="175"/>
  <c r="G33" i="175"/>
  <c r="N10" i="175" s="1"/>
  <c r="F36" i="175"/>
  <c r="F22" i="175" l="1"/>
  <c r="F21" i="175"/>
  <c r="F20" i="175"/>
  <c r="F16" i="175"/>
  <c r="N6" i="175"/>
  <c r="F18" i="175"/>
  <c r="F25" i="175"/>
  <c r="F13" i="175"/>
  <c r="U9" i="176"/>
  <c r="X9" i="176" s="1"/>
  <c r="Y9" i="176" s="1"/>
  <c r="Z9" i="176" s="1"/>
  <c r="Q9" i="176" s="1"/>
  <c r="U4" i="176"/>
  <c r="X4" i="176" s="1"/>
  <c r="Y4" i="176" s="1"/>
  <c r="Z4" i="176" s="1"/>
  <c r="Q4" i="176" s="1"/>
  <c r="F24" i="175"/>
  <c r="N8" i="175"/>
  <c r="U8" i="175" s="1"/>
  <c r="X8" i="175" s="1"/>
  <c r="Y8" i="175" s="1"/>
  <c r="Z8" i="175" s="1"/>
  <c r="Q8" i="175" s="1"/>
  <c r="F23" i="175"/>
  <c r="F15" i="175"/>
  <c r="F11" i="175"/>
  <c r="N5" i="175"/>
  <c r="P5" i="175" s="1"/>
  <c r="R5" i="175" s="1"/>
  <c r="S5" i="177"/>
  <c r="S6" i="177"/>
  <c r="S8" i="177"/>
  <c r="S10" i="177"/>
  <c r="G25" i="177"/>
  <c r="S4" i="177"/>
  <c r="S7" i="177"/>
  <c r="S9" i="177"/>
  <c r="S11" i="177"/>
  <c r="S12" i="177"/>
  <c r="F31" i="177"/>
  <c r="P11" i="176"/>
  <c r="R11" i="176" s="1"/>
  <c r="U11" i="176"/>
  <c r="X11" i="176" s="1"/>
  <c r="Y11" i="176" s="1"/>
  <c r="Z11" i="176" s="1"/>
  <c r="Q11" i="176" s="1"/>
  <c r="P12" i="176"/>
  <c r="R12" i="176" s="1"/>
  <c r="U12" i="176"/>
  <c r="X12" i="176" s="1"/>
  <c r="Y12" i="176" s="1"/>
  <c r="Z12" i="176" s="1"/>
  <c r="Q12" i="176" s="1"/>
  <c r="P8" i="176"/>
  <c r="R8" i="176" s="1"/>
  <c r="U8" i="176"/>
  <c r="X8" i="176" s="1"/>
  <c r="Y8" i="176" s="1"/>
  <c r="Z8" i="176" s="1"/>
  <c r="Q8" i="176" s="1"/>
  <c r="P10" i="176"/>
  <c r="R10" i="176" s="1"/>
  <c r="U10" i="176"/>
  <c r="X10" i="176" s="1"/>
  <c r="Y10" i="176" s="1"/>
  <c r="Z10" i="176" s="1"/>
  <c r="Q10" i="176" s="1"/>
  <c r="G12" i="176"/>
  <c r="G13" i="176" s="1"/>
  <c r="G14" i="176" s="1"/>
  <c r="G15" i="176" s="1"/>
  <c r="G16" i="176" s="1"/>
  <c r="G17" i="176" s="1"/>
  <c r="G18" i="176" s="1"/>
  <c r="G19" i="176" s="1"/>
  <c r="G20" i="176" s="1"/>
  <c r="G21" i="176" s="1"/>
  <c r="G22" i="176" s="1"/>
  <c r="G23" i="176" s="1"/>
  <c r="G24" i="176" s="1"/>
  <c r="F26" i="176"/>
  <c r="P10" i="175"/>
  <c r="U10" i="175"/>
  <c r="X10" i="175" s="1"/>
  <c r="Y10" i="175" s="1"/>
  <c r="Z10" i="175" s="1"/>
  <c r="P12" i="175"/>
  <c r="U12" i="175"/>
  <c r="X12" i="175" s="1"/>
  <c r="Y12" i="175" s="1"/>
  <c r="Z12" i="175" s="1"/>
  <c r="Q12" i="175" s="1"/>
  <c r="P8" i="175"/>
  <c r="R8" i="175" s="1"/>
  <c r="P6" i="175"/>
  <c r="U6" i="175"/>
  <c r="X6" i="175" s="1"/>
  <c r="Y6" i="175" s="1"/>
  <c r="Z6" i="175" s="1"/>
  <c r="Q6" i="175" s="1"/>
  <c r="Q10" i="175"/>
  <c r="F19" i="175"/>
  <c r="F17" i="175"/>
  <c r="F12" i="175"/>
  <c r="N11" i="175"/>
  <c r="R10" i="175"/>
  <c r="N9" i="175"/>
  <c r="N7" i="175"/>
  <c r="R6" i="175"/>
  <c r="N4" i="175"/>
  <c r="E27" i="175"/>
  <c r="F27" i="175" s="1"/>
  <c r="R12" i="175"/>
  <c r="I4" i="174"/>
  <c r="M4" i="174"/>
  <c r="V4" i="174"/>
  <c r="W4" i="174"/>
  <c r="I5" i="174"/>
  <c r="M5" i="174"/>
  <c r="V5" i="174"/>
  <c r="W5" i="174"/>
  <c r="AE5" i="174"/>
  <c r="I6" i="174"/>
  <c r="M6" i="174"/>
  <c r="V6" i="174"/>
  <c r="W6" i="174"/>
  <c r="I7" i="174"/>
  <c r="M7" i="174"/>
  <c r="N7" i="174" s="1"/>
  <c r="V7" i="174"/>
  <c r="W7" i="174"/>
  <c r="I8" i="174"/>
  <c r="M8" i="174"/>
  <c r="V8" i="174"/>
  <c r="W8" i="174"/>
  <c r="I9" i="174"/>
  <c r="M9" i="174"/>
  <c r="N9" i="174" s="1"/>
  <c r="V9" i="174"/>
  <c r="W9" i="174"/>
  <c r="I10" i="174"/>
  <c r="M10" i="174"/>
  <c r="V10" i="174"/>
  <c r="W10" i="174"/>
  <c r="E11" i="174"/>
  <c r="I11" i="174"/>
  <c r="M11" i="174"/>
  <c r="N11" i="174" s="1"/>
  <c r="V11" i="174"/>
  <c r="W11" i="174"/>
  <c r="E12" i="174"/>
  <c r="I12" i="174"/>
  <c r="M12" i="174"/>
  <c r="V12" i="174"/>
  <c r="W12" i="174"/>
  <c r="E13" i="174"/>
  <c r="E14" i="174"/>
  <c r="E15" i="174"/>
  <c r="E16" i="174"/>
  <c r="E17" i="174"/>
  <c r="E18" i="174"/>
  <c r="E19" i="174"/>
  <c r="E20" i="174"/>
  <c r="E21" i="174"/>
  <c r="E22" i="174"/>
  <c r="E23" i="174"/>
  <c r="E24" i="174"/>
  <c r="E25" i="174"/>
  <c r="C27" i="174"/>
  <c r="G33" i="174"/>
  <c r="N5" i="174" s="1"/>
  <c r="F36" i="174"/>
  <c r="U5" i="175" l="1"/>
  <c r="X5" i="175" s="1"/>
  <c r="Y5" i="175" s="1"/>
  <c r="Z5" i="175" s="1"/>
  <c r="Q5" i="175" s="1"/>
  <c r="N4" i="174"/>
  <c r="P4" i="174" s="1"/>
  <c r="R4" i="174" s="1"/>
  <c r="N12" i="174"/>
  <c r="S5" i="176"/>
  <c r="S6" i="176"/>
  <c r="S8" i="176"/>
  <c r="S10" i="176"/>
  <c r="G25" i="176"/>
  <c r="S4" i="176"/>
  <c r="S7" i="176"/>
  <c r="S9" i="176"/>
  <c r="S11" i="176"/>
  <c r="S12" i="176"/>
  <c r="F31" i="176"/>
  <c r="G12" i="175"/>
  <c r="G13" i="175" s="1"/>
  <c r="G14" i="175" s="1"/>
  <c r="G15" i="175" s="1"/>
  <c r="G16" i="175" s="1"/>
  <c r="G17" i="175" s="1"/>
  <c r="G18" i="175" s="1"/>
  <c r="G19" i="175" s="1"/>
  <c r="G20" i="175" s="1"/>
  <c r="G21" i="175" s="1"/>
  <c r="G22" i="175" s="1"/>
  <c r="G23" i="175" s="1"/>
  <c r="G24" i="175" s="1"/>
  <c r="F26" i="175"/>
  <c r="P7" i="175"/>
  <c r="R7" i="175" s="1"/>
  <c r="U7" i="175"/>
  <c r="X7" i="175" s="1"/>
  <c r="Y7" i="175" s="1"/>
  <c r="Z7" i="175" s="1"/>
  <c r="Q7" i="175" s="1"/>
  <c r="P9" i="175"/>
  <c r="R9" i="175" s="1"/>
  <c r="U9" i="175"/>
  <c r="X9" i="175" s="1"/>
  <c r="Y9" i="175" s="1"/>
  <c r="Z9" i="175" s="1"/>
  <c r="Q9" i="175" s="1"/>
  <c r="P11" i="175"/>
  <c r="R11" i="175" s="1"/>
  <c r="U11" i="175"/>
  <c r="X11" i="175" s="1"/>
  <c r="Y11" i="175" s="1"/>
  <c r="Z11" i="175" s="1"/>
  <c r="Q11" i="175" s="1"/>
  <c r="P4" i="175"/>
  <c r="R4" i="175" s="1"/>
  <c r="U4" i="175"/>
  <c r="X4" i="175" s="1"/>
  <c r="Y4" i="175" s="1"/>
  <c r="Z4" i="175" s="1"/>
  <c r="Q4" i="175" s="1"/>
  <c r="P5" i="174"/>
  <c r="U5" i="174"/>
  <c r="X5" i="174" s="1"/>
  <c r="Y5" i="174" s="1"/>
  <c r="Z5" i="174" s="1"/>
  <c r="Q5" i="174" s="1"/>
  <c r="P11" i="174"/>
  <c r="R11" i="174" s="1"/>
  <c r="U11" i="174"/>
  <c r="X11" i="174" s="1"/>
  <c r="Y11" i="174" s="1"/>
  <c r="Z11" i="174" s="1"/>
  <c r="U4" i="174"/>
  <c r="X4" i="174" s="1"/>
  <c r="Y4" i="174" s="1"/>
  <c r="Z4" i="174" s="1"/>
  <c r="Q4" i="174" s="1"/>
  <c r="P12" i="174"/>
  <c r="U12" i="174"/>
  <c r="X12" i="174" s="1"/>
  <c r="Y12" i="174" s="1"/>
  <c r="Z12" i="174" s="1"/>
  <c r="P9" i="174"/>
  <c r="U9" i="174"/>
  <c r="X9" i="174" s="1"/>
  <c r="Y9" i="174" s="1"/>
  <c r="Z9" i="174" s="1"/>
  <c r="Q9" i="174" s="1"/>
  <c r="P7" i="174"/>
  <c r="R7" i="174" s="1"/>
  <c r="U7" i="174"/>
  <c r="X7" i="174" s="1"/>
  <c r="Y7" i="174" s="1"/>
  <c r="Z7" i="174" s="1"/>
  <c r="Q7" i="174" s="1"/>
  <c r="F15" i="174"/>
  <c r="Q12" i="174"/>
  <c r="Q11" i="174"/>
  <c r="E26" i="174"/>
  <c r="F23" i="174" s="1"/>
  <c r="R5" i="174"/>
  <c r="R12" i="174"/>
  <c r="N10" i="174"/>
  <c r="R9" i="174"/>
  <c r="N8" i="174"/>
  <c r="N6" i="174"/>
  <c r="I4" i="173"/>
  <c r="M4" i="173"/>
  <c r="V4" i="173"/>
  <c r="W4" i="173"/>
  <c r="I5" i="173"/>
  <c r="M5" i="173"/>
  <c r="N5" i="173" s="1"/>
  <c r="V5" i="173"/>
  <c r="W5" i="173"/>
  <c r="AE5" i="173"/>
  <c r="I6" i="173"/>
  <c r="M6" i="173"/>
  <c r="V6" i="173"/>
  <c r="W6" i="173"/>
  <c r="I7" i="173"/>
  <c r="M7" i="173"/>
  <c r="V7" i="173"/>
  <c r="W7" i="173"/>
  <c r="I8" i="173"/>
  <c r="M8" i="173"/>
  <c r="V8" i="173"/>
  <c r="W8" i="173"/>
  <c r="I9" i="173"/>
  <c r="M9" i="173"/>
  <c r="V9" i="173"/>
  <c r="W9" i="173"/>
  <c r="I10" i="173"/>
  <c r="M10" i="173"/>
  <c r="V10" i="173"/>
  <c r="W10" i="173"/>
  <c r="E11" i="173"/>
  <c r="I11" i="173"/>
  <c r="M11" i="173"/>
  <c r="V11" i="173"/>
  <c r="W11" i="173"/>
  <c r="E12" i="173"/>
  <c r="I12" i="173"/>
  <c r="M12" i="173"/>
  <c r="V12" i="173"/>
  <c r="W12" i="173"/>
  <c r="E13" i="173"/>
  <c r="E14" i="173"/>
  <c r="E15" i="173"/>
  <c r="E26" i="173" s="1"/>
  <c r="E27" i="173" s="1"/>
  <c r="F27" i="173" s="1"/>
  <c r="E16" i="173"/>
  <c r="E17" i="173"/>
  <c r="E18" i="173"/>
  <c r="E19" i="173"/>
  <c r="E20" i="173"/>
  <c r="E21" i="173"/>
  <c r="E22" i="173"/>
  <c r="E23" i="173"/>
  <c r="E24" i="173"/>
  <c r="E25" i="173"/>
  <c r="C27" i="173"/>
  <c r="G33" i="173"/>
  <c r="F36" i="173"/>
  <c r="F11" i="173" l="1"/>
  <c r="F22" i="173"/>
  <c r="F14" i="173"/>
  <c r="F19" i="174"/>
  <c r="F18" i="173"/>
  <c r="N4" i="173"/>
  <c r="F24" i="173"/>
  <c r="F20" i="173"/>
  <c r="F16" i="173"/>
  <c r="N10" i="173"/>
  <c r="N8" i="173"/>
  <c r="P8" i="173" s="1"/>
  <c r="R8" i="173" s="1"/>
  <c r="N6" i="173"/>
  <c r="P6" i="173" s="1"/>
  <c r="R6" i="173" s="1"/>
  <c r="S5" i="175"/>
  <c r="S6" i="175"/>
  <c r="S8" i="175"/>
  <c r="S10" i="175"/>
  <c r="G25" i="175"/>
  <c r="S4" i="175"/>
  <c r="S7" i="175"/>
  <c r="S9" i="175"/>
  <c r="S11" i="175"/>
  <c r="S12" i="175"/>
  <c r="F31" i="175"/>
  <c r="P8" i="174"/>
  <c r="R8" i="174" s="1"/>
  <c r="U8" i="174"/>
  <c r="X8" i="174" s="1"/>
  <c r="Y8" i="174" s="1"/>
  <c r="Z8" i="174" s="1"/>
  <c r="Q8" i="174" s="1"/>
  <c r="P10" i="174"/>
  <c r="R10" i="174" s="1"/>
  <c r="U10" i="174"/>
  <c r="X10" i="174" s="1"/>
  <c r="Y10" i="174" s="1"/>
  <c r="Z10" i="174" s="1"/>
  <c r="Q10" i="174" s="1"/>
  <c r="F11" i="174"/>
  <c r="F14" i="174"/>
  <c r="F16" i="174"/>
  <c r="F18" i="174"/>
  <c r="F20" i="174"/>
  <c r="F22" i="174"/>
  <c r="F24" i="174"/>
  <c r="E27" i="174"/>
  <c r="F27" i="174" s="1"/>
  <c r="F12" i="174"/>
  <c r="F13" i="174"/>
  <c r="F17" i="174"/>
  <c r="F21" i="174"/>
  <c r="F25" i="174"/>
  <c r="P6" i="174"/>
  <c r="R6" i="174" s="1"/>
  <c r="U6" i="174"/>
  <c r="X6" i="174" s="1"/>
  <c r="Y6" i="174" s="1"/>
  <c r="Z6" i="174" s="1"/>
  <c r="Q6" i="174" s="1"/>
  <c r="P5" i="173"/>
  <c r="U5" i="173"/>
  <c r="X5" i="173" s="1"/>
  <c r="Y5" i="173" s="1"/>
  <c r="Z5" i="173" s="1"/>
  <c r="Q5" i="173" s="1"/>
  <c r="P4" i="173"/>
  <c r="U4" i="173"/>
  <c r="X4" i="173" s="1"/>
  <c r="Y4" i="173" s="1"/>
  <c r="Z4" i="173" s="1"/>
  <c r="Q4" i="173" s="1"/>
  <c r="P10" i="173"/>
  <c r="U10" i="173"/>
  <c r="X10" i="173" s="1"/>
  <c r="Y10" i="173" s="1"/>
  <c r="Z10" i="173" s="1"/>
  <c r="Q10" i="173" s="1"/>
  <c r="U6" i="173"/>
  <c r="X6" i="173" s="1"/>
  <c r="Y6" i="173" s="1"/>
  <c r="Z6" i="173" s="1"/>
  <c r="R4" i="173"/>
  <c r="Q6" i="173"/>
  <c r="F25" i="173"/>
  <c r="F19" i="173"/>
  <c r="F17" i="173"/>
  <c r="F15" i="173"/>
  <c r="F13" i="173"/>
  <c r="N12" i="173"/>
  <c r="F12" i="173"/>
  <c r="N11" i="173"/>
  <c r="R10" i="173"/>
  <c r="N9" i="173"/>
  <c r="N7" i="173"/>
  <c r="R5" i="173"/>
  <c r="F23" i="173"/>
  <c r="F21" i="173"/>
  <c r="I4" i="172"/>
  <c r="M4" i="172"/>
  <c r="V4" i="172"/>
  <c r="W4" i="172"/>
  <c r="I5" i="172"/>
  <c r="M5" i="172"/>
  <c r="V5" i="172"/>
  <c r="W5" i="172"/>
  <c r="AE5" i="172"/>
  <c r="I6" i="172"/>
  <c r="M6" i="172"/>
  <c r="V6" i="172"/>
  <c r="W6" i="172"/>
  <c r="I7" i="172"/>
  <c r="M7" i="172"/>
  <c r="V7" i="172"/>
  <c r="W7" i="172"/>
  <c r="I8" i="172"/>
  <c r="M8" i="172"/>
  <c r="V8" i="172"/>
  <c r="W8" i="172"/>
  <c r="I9" i="172"/>
  <c r="M9" i="172"/>
  <c r="V9" i="172"/>
  <c r="W9" i="172"/>
  <c r="I10" i="172"/>
  <c r="M10" i="172"/>
  <c r="V10" i="172"/>
  <c r="W10" i="172"/>
  <c r="E11" i="172"/>
  <c r="I11" i="172"/>
  <c r="M11" i="172"/>
  <c r="V11" i="172"/>
  <c r="W11" i="172"/>
  <c r="E12" i="172"/>
  <c r="E26" i="172" s="1"/>
  <c r="E27" i="172" s="1"/>
  <c r="F27" i="172" s="1"/>
  <c r="I12" i="172"/>
  <c r="M12" i="172"/>
  <c r="V12" i="172"/>
  <c r="W12" i="172"/>
  <c r="E13" i="172"/>
  <c r="E14" i="172"/>
  <c r="E15" i="172"/>
  <c r="E16" i="172"/>
  <c r="E17" i="172"/>
  <c r="E18" i="172"/>
  <c r="E19" i="172"/>
  <c r="E20" i="172"/>
  <c r="E21" i="172"/>
  <c r="E22" i="172"/>
  <c r="E23" i="172"/>
  <c r="E24" i="172"/>
  <c r="E25" i="172"/>
  <c r="C27" i="172"/>
  <c r="G33" i="172"/>
  <c r="N4" i="172" s="1"/>
  <c r="F36" i="172"/>
  <c r="U8" i="173" l="1"/>
  <c r="X8" i="173" s="1"/>
  <c r="Y8" i="173" s="1"/>
  <c r="Z8" i="173" s="1"/>
  <c r="Q8" i="173" s="1"/>
  <c r="F24" i="172"/>
  <c r="F20" i="172"/>
  <c r="F16" i="172"/>
  <c r="N10" i="172"/>
  <c r="N8" i="172"/>
  <c r="N6" i="172"/>
  <c r="P6" i="172" s="1"/>
  <c r="R6" i="172" s="1"/>
  <c r="F11" i="172"/>
  <c r="N5" i="172"/>
  <c r="F22" i="172"/>
  <c r="F18" i="172"/>
  <c r="F14" i="172"/>
  <c r="G12" i="174"/>
  <c r="G13" i="174" s="1"/>
  <c r="G14" i="174" s="1"/>
  <c r="G15" i="174" s="1"/>
  <c r="G16" i="174" s="1"/>
  <c r="G17" i="174" s="1"/>
  <c r="G18" i="174" s="1"/>
  <c r="G19" i="174" s="1"/>
  <c r="G20" i="174" s="1"/>
  <c r="G21" i="174" s="1"/>
  <c r="G22" i="174" s="1"/>
  <c r="G23" i="174" s="1"/>
  <c r="G24" i="174" s="1"/>
  <c r="F26" i="174"/>
  <c r="G12" i="173"/>
  <c r="G13" i="173" s="1"/>
  <c r="G14" i="173" s="1"/>
  <c r="G15" i="173" s="1"/>
  <c r="G16" i="173" s="1"/>
  <c r="G17" i="173" s="1"/>
  <c r="G18" i="173" s="1"/>
  <c r="G19" i="173" s="1"/>
  <c r="G20" i="173" s="1"/>
  <c r="G21" i="173" s="1"/>
  <c r="G22" i="173" s="1"/>
  <c r="G23" i="173" s="1"/>
  <c r="G24" i="173" s="1"/>
  <c r="F26" i="173"/>
  <c r="P7" i="173"/>
  <c r="R7" i="173" s="1"/>
  <c r="U7" i="173"/>
  <c r="X7" i="173" s="1"/>
  <c r="Y7" i="173" s="1"/>
  <c r="Z7" i="173" s="1"/>
  <c r="Q7" i="173" s="1"/>
  <c r="P9" i="173"/>
  <c r="R9" i="173" s="1"/>
  <c r="U9" i="173"/>
  <c r="X9" i="173" s="1"/>
  <c r="Y9" i="173" s="1"/>
  <c r="Z9" i="173" s="1"/>
  <c r="Q9" i="173" s="1"/>
  <c r="P11" i="173"/>
  <c r="R11" i="173" s="1"/>
  <c r="U11" i="173"/>
  <c r="X11" i="173" s="1"/>
  <c r="Y11" i="173" s="1"/>
  <c r="Z11" i="173" s="1"/>
  <c r="Q11" i="173" s="1"/>
  <c r="P12" i="173"/>
  <c r="R12" i="173" s="1"/>
  <c r="U12" i="173"/>
  <c r="X12" i="173" s="1"/>
  <c r="Y12" i="173" s="1"/>
  <c r="Z12" i="173" s="1"/>
  <c r="Q12" i="173" s="1"/>
  <c r="P5" i="172"/>
  <c r="U5" i="172"/>
  <c r="X5" i="172" s="1"/>
  <c r="Y5" i="172" s="1"/>
  <c r="Z5" i="172" s="1"/>
  <c r="P4" i="172"/>
  <c r="U4" i="172"/>
  <c r="X4" i="172" s="1"/>
  <c r="Y4" i="172" s="1"/>
  <c r="Z4" i="172" s="1"/>
  <c r="Q4" i="172" s="1"/>
  <c r="P10" i="172"/>
  <c r="U10" i="172"/>
  <c r="X10" i="172" s="1"/>
  <c r="Y10" i="172" s="1"/>
  <c r="Z10" i="172" s="1"/>
  <c r="P8" i="172"/>
  <c r="R8" i="172" s="1"/>
  <c r="U8" i="172"/>
  <c r="X8" i="172" s="1"/>
  <c r="Y8" i="172" s="1"/>
  <c r="Z8" i="172" s="1"/>
  <c r="Q8" i="172" s="1"/>
  <c r="R4" i="172"/>
  <c r="Q10" i="172"/>
  <c r="Q5" i="172"/>
  <c r="F25" i="172"/>
  <c r="F21" i="172"/>
  <c r="F17" i="172"/>
  <c r="F15" i="172"/>
  <c r="F13" i="172"/>
  <c r="N12" i="172"/>
  <c r="F12" i="172"/>
  <c r="N11" i="172"/>
  <c r="R10" i="172"/>
  <c r="N9" i="172"/>
  <c r="N7" i="172"/>
  <c r="R5" i="172"/>
  <c r="F23" i="172"/>
  <c r="F19" i="172"/>
  <c r="I4" i="171"/>
  <c r="M4" i="171"/>
  <c r="V4" i="171"/>
  <c r="W4" i="171"/>
  <c r="I5" i="171"/>
  <c r="M5" i="171"/>
  <c r="V5" i="171"/>
  <c r="W5" i="171"/>
  <c r="AE5" i="171"/>
  <c r="I6" i="171"/>
  <c r="M6" i="171"/>
  <c r="V6" i="171"/>
  <c r="W6" i="171"/>
  <c r="I7" i="171"/>
  <c r="M7" i="171"/>
  <c r="V7" i="171"/>
  <c r="W7" i="171"/>
  <c r="I8" i="171"/>
  <c r="M8" i="171"/>
  <c r="V8" i="171"/>
  <c r="W8" i="171"/>
  <c r="I9" i="171"/>
  <c r="M9" i="171"/>
  <c r="V9" i="171"/>
  <c r="W9" i="171"/>
  <c r="I10" i="171"/>
  <c r="M10" i="171"/>
  <c r="V10" i="171"/>
  <c r="W10" i="171"/>
  <c r="E11" i="171"/>
  <c r="I11" i="171"/>
  <c r="M11" i="171"/>
  <c r="V11" i="171"/>
  <c r="W11" i="171"/>
  <c r="E12" i="171"/>
  <c r="I12" i="171"/>
  <c r="M12" i="171"/>
  <c r="V12" i="171"/>
  <c r="W12" i="171"/>
  <c r="E13" i="171"/>
  <c r="E14" i="171"/>
  <c r="E15" i="171"/>
  <c r="E16" i="171"/>
  <c r="E17" i="171"/>
  <c r="E18" i="171"/>
  <c r="E19" i="171"/>
  <c r="E20" i="171"/>
  <c r="E21" i="171"/>
  <c r="E22" i="171"/>
  <c r="E23" i="171"/>
  <c r="E24" i="171"/>
  <c r="E25" i="171"/>
  <c r="E26" i="171"/>
  <c r="E27" i="171" s="1"/>
  <c r="F27" i="171" s="1"/>
  <c r="C27" i="171"/>
  <c r="G33" i="171"/>
  <c r="N4" i="171" s="1"/>
  <c r="F36" i="171"/>
  <c r="F18" i="171" l="1"/>
  <c r="F24" i="171"/>
  <c r="F20" i="171"/>
  <c r="F16" i="171"/>
  <c r="N10" i="171"/>
  <c r="N8" i="171"/>
  <c r="N6" i="171"/>
  <c r="P6" i="171" s="1"/>
  <c r="R6" i="171" s="1"/>
  <c r="U6" i="172"/>
  <c r="X6" i="172" s="1"/>
  <c r="Y6" i="172" s="1"/>
  <c r="Z6" i="172" s="1"/>
  <c r="Q6" i="172" s="1"/>
  <c r="F22" i="171"/>
  <c r="F14" i="171"/>
  <c r="F11" i="171"/>
  <c r="N5" i="171"/>
  <c r="P5" i="171" s="1"/>
  <c r="R5" i="171" s="1"/>
  <c r="S5" i="174"/>
  <c r="S6" i="174"/>
  <c r="S8" i="174"/>
  <c r="S10" i="174"/>
  <c r="G25" i="174"/>
  <c r="F31" i="174"/>
  <c r="S4" i="174"/>
  <c r="S7" i="174"/>
  <c r="S9" i="174"/>
  <c r="S11" i="174"/>
  <c r="S12" i="174"/>
  <c r="S5" i="173"/>
  <c r="S6" i="173"/>
  <c r="S8" i="173"/>
  <c r="S10" i="173"/>
  <c r="G25" i="173"/>
  <c r="S4" i="173"/>
  <c r="S7" i="173"/>
  <c r="S9" i="173"/>
  <c r="S11" i="173"/>
  <c r="S12" i="173"/>
  <c r="F31" i="173"/>
  <c r="G12" i="172"/>
  <c r="G13" i="172" s="1"/>
  <c r="G14" i="172" s="1"/>
  <c r="G15" i="172" s="1"/>
  <c r="G16" i="172" s="1"/>
  <c r="G17" i="172" s="1"/>
  <c r="G18" i="172" s="1"/>
  <c r="G19" i="172" s="1"/>
  <c r="G20" i="172" s="1"/>
  <c r="G21" i="172" s="1"/>
  <c r="G22" i="172" s="1"/>
  <c r="G23" i="172" s="1"/>
  <c r="G24" i="172" s="1"/>
  <c r="F26" i="172"/>
  <c r="P7" i="172"/>
  <c r="R7" i="172" s="1"/>
  <c r="U7" i="172"/>
  <c r="X7" i="172" s="1"/>
  <c r="Y7" i="172" s="1"/>
  <c r="Z7" i="172" s="1"/>
  <c r="Q7" i="172" s="1"/>
  <c r="P9" i="172"/>
  <c r="R9" i="172" s="1"/>
  <c r="U9" i="172"/>
  <c r="X9" i="172" s="1"/>
  <c r="Y9" i="172" s="1"/>
  <c r="Z9" i="172" s="1"/>
  <c r="Q9" i="172" s="1"/>
  <c r="P11" i="172"/>
  <c r="R11" i="172" s="1"/>
  <c r="U11" i="172"/>
  <c r="X11" i="172" s="1"/>
  <c r="Y11" i="172" s="1"/>
  <c r="Z11" i="172" s="1"/>
  <c r="Q11" i="172" s="1"/>
  <c r="P12" i="172"/>
  <c r="R12" i="172" s="1"/>
  <c r="U12" i="172"/>
  <c r="X12" i="172" s="1"/>
  <c r="Y12" i="172" s="1"/>
  <c r="Z12" i="172" s="1"/>
  <c r="Q12" i="172" s="1"/>
  <c r="P4" i="171"/>
  <c r="U4" i="171"/>
  <c r="X4" i="171" s="1"/>
  <c r="Y4" i="171" s="1"/>
  <c r="Z4" i="171" s="1"/>
  <c r="Q4" i="171" s="1"/>
  <c r="P10" i="171"/>
  <c r="U10" i="171"/>
  <c r="X10" i="171" s="1"/>
  <c r="Y10" i="171" s="1"/>
  <c r="Z10" i="171" s="1"/>
  <c r="P8" i="171"/>
  <c r="R8" i="171" s="1"/>
  <c r="U8" i="171"/>
  <c r="X8" i="171" s="1"/>
  <c r="Y8" i="171" s="1"/>
  <c r="Z8" i="171" s="1"/>
  <c r="Q8" i="171" s="1"/>
  <c r="R4" i="171"/>
  <c r="Q10" i="171"/>
  <c r="F23" i="171"/>
  <c r="F19" i="171"/>
  <c r="F17" i="171"/>
  <c r="F15" i="171"/>
  <c r="F13" i="171"/>
  <c r="N12" i="171"/>
  <c r="F12" i="171"/>
  <c r="N11" i="171"/>
  <c r="R10" i="171"/>
  <c r="N9" i="171"/>
  <c r="N7" i="171"/>
  <c r="F25" i="171"/>
  <c r="F21" i="171"/>
  <c r="I4" i="170"/>
  <c r="M4" i="170"/>
  <c r="V4" i="170"/>
  <c r="W4" i="170"/>
  <c r="I5" i="170"/>
  <c r="M5" i="170"/>
  <c r="V5" i="170"/>
  <c r="W5" i="170"/>
  <c r="AE5" i="170"/>
  <c r="I6" i="170"/>
  <c r="M6" i="170"/>
  <c r="V6" i="170"/>
  <c r="W6" i="170"/>
  <c r="I7" i="170"/>
  <c r="M7" i="170"/>
  <c r="V7" i="170"/>
  <c r="W7" i="170"/>
  <c r="I8" i="170"/>
  <c r="M8" i="170"/>
  <c r="V8" i="170"/>
  <c r="W8" i="170"/>
  <c r="I9" i="170"/>
  <c r="M9" i="170"/>
  <c r="V9" i="170"/>
  <c r="W9" i="170"/>
  <c r="I10" i="170"/>
  <c r="M10" i="170"/>
  <c r="V10" i="170"/>
  <c r="W10" i="170"/>
  <c r="E11" i="170"/>
  <c r="I11" i="170"/>
  <c r="M11" i="170"/>
  <c r="N11" i="170" s="1"/>
  <c r="V11" i="170"/>
  <c r="W11" i="170"/>
  <c r="E12" i="170"/>
  <c r="I12" i="170"/>
  <c r="M12" i="170"/>
  <c r="V12" i="170"/>
  <c r="W12" i="170"/>
  <c r="E13" i="170"/>
  <c r="E14" i="170"/>
  <c r="E15" i="170"/>
  <c r="E16" i="170"/>
  <c r="E17" i="170"/>
  <c r="E18" i="170"/>
  <c r="E19" i="170"/>
  <c r="E20" i="170"/>
  <c r="E21" i="170"/>
  <c r="E22" i="170"/>
  <c r="E23" i="170"/>
  <c r="E24" i="170"/>
  <c r="E25" i="170"/>
  <c r="E26" i="170"/>
  <c r="F20" i="170" s="1"/>
  <c r="C27" i="170"/>
  <c r="G33" i="170"/>
  <c r="N5" i="170" s="1"/>
  <c r="F36" i="170"/>
  <c r="F18" i="170" l="1"/>
  <c r="F21" i="170"/>
  <c r="F16" i="170"/>
  <c r="N10" i="170"/>
  <c r="P10" i="170" s="1"/>
  <c r="R10" i="170" s="1"/>
  <c r="N8" i="170"/>
  <c r="N6" i="170"/>
  <c r="U6" i="171"/>
  <c r="X6" i="171" s="1"/>
  <c r="Y6" i="171" s="1"/>
  <c r="Z6" i="171" s="1"/>
  <c r="Q6" i="171" s="1"/>
  <c r="U5" i="171"/>
  <c r="X5" i="171" s="1"/>
  <c r="Y5" i="171" s="1"/>
  <c r="Z5" i="171" s="1"/>
  <c r="Q5" i="171" s="1"/>
  <c r="F14" i="170"/>
  <c r="F25" i="170"/>
  <c r="F17" i="170"/>
  <c r="F23" i="170"/>
  <c r="F19" i="170"/>
  <c r="F11" i="170"/>
  <c r="N4" i="170"/>
  <c r="S5" i="172"/>
  <c r="S6" i="172"/>
  <c r="S8" i="172"/>
  <c r="S10" i="172"/>
  <c r="G25" i="172"/>
  <c r="S4" i="172"/>
  <c r="S7" i="172"/>
  <c r="S9" i="172"/>
  <c r="S11" i="172"/>
  <c r="S12" i="172"/>
  <c r="F31" i="172"/>
  <c r="G12" i="171"/>
  <c r="G13" i="171" s="1"/>
  <c r="G14" i="171" s="1"/>
  <c r="G15" i="171" s="1"/>
  <c r="G16" i="171" s="1"/>
  <c r="G17" i="171" s="1"/>
  <c r="G18" i="171" s="1"/>
  <c r="G19" i="171" s="1"/>
  <c r="G20" i="171" s="1"/>
  <c r="G21" i="171" s="1"/>
  <c r="G22" i="171" s="1"/>
  <c r="G23" i="171" s="1"/>
  <c r="G24" i="171" s="1"/>
  <c r="F26" i="171"/>
  <c r="P7" i="171"/>
  <c r="R7" i="171" s="1"/>
  <c r="U7" i="171"/>
  <c r="X7" i="171" s="1"/>
  <c r="Y7" i="171" s="1"/>
  <c r="Z7" i="171" s="1"/>
  <c r="Q7" i="171" s="1"/>
  <c r="P9" i="171"/>
  <c r="R9" i="171" s="1"/>
  <c r="U9" i="171"/>
  <c r="X9" i="171" s="1"/>
  <c r="Y9" i="171" s="1"/>
  <c r="Z9" i="171" s="1"/>
  <c r="Q9" i="171" s="1"/>
  <c r="P11" i="171"/>
  <c r="R11" i="171" s="1"/>
  <c r="U11" i="171"/>
  <c r="X11" i="171" s="1"/>
  <c r="Y11" i="171" s="1"/>
  <c r="Z11" i="171" s="1"/>
  <c r="Q11" i="171" s="1"/>
  <c r="P12" i="171"/>
  <c r="R12" i="171" s="1"/>
  <c r="U12" i="171"/>
  <c r="X12" i="171" s="1"/>
  <c r="Y12" i="171" s="1"/>
  <c r="Z12" i="171" s="1"/>
  <c r="Q12" i="171" s="1"/>
  <c r="P11" i="170"/>
  <c r="U11" i="170"/>
  <c r="X11" i="170" s="1"/>
  <c r="Y11" i="170" s="1"/>
  <c r="Z11" i="170" s="1"/>
  <c r="Q11" i="170" s="1"/>
  <c r="P4" i="170"/>
  <c r="R4" i="170" s="1"/>
  <c r="U4" i="170"/>
  <c r="X4" i="170" s="1"/>
  <c r="Y4" i="170" s="1"/>
  <c r="Z4" i="170" s="1"/>
  <c r="Q4" i="170" s="1"/>
  <c r="P5" i="170"/>
  <c r="U5" i="170"/>
  <c r="X5" i="170" s="1"/>
  <c r="Y5" i="170" s="1"/>
  <c r="Z5" i="170" s="1"/>
  <c r="Q5" i="170" s="1"/>
  <c r="U10" i="170"/>
  <c r="X10" i="170" s="1"/>
  <c r="Y10" i="170" s="1"/>
  <c r="Z10" i="170" s="1"/>
  <c r="Q10" i="170" s="1"/>
  <c r="P8" i="170"/>
  <c r="U8" i="170"/>
  <c r="X8" i="170" s="1"/>
  <c r="Y8" i="170" s="1"/>
  <c r="Z8" i="170" s="1"/>
  <c r="P6" i="170"/>
  <c r="R6" i="170" s="1"/>
  <c r="U6" i="170"/>
  <c r="X6" i="170" s="1"/>
  <c r="Y6" i="170" s="1"/>
  <c r="Z6" i="170" s="1"/>
  <c r="Q6" i="170" s="1"/>
  <c r="Q8" i="170"/>
  <c r="F15" i="170"/>
  <c r="F13" i="170"/>
  <c r="N12" i="170"/>
  <c r="F12" i="170"/>
  <c r="N9" i="170"/>
  <c r="R8" i="170"/>
  <c r="N7" i="170"/>
  <c r="R5" i="170"/>
  <c r="E27" i="170"/>
  <c r="F27" i="170" s="1"/>
  <c r="F24" i="170"/>
  <c r="F22" i="170"/>
  <c r="R11" i="170"/>
  <c r="I4" i="169"/>
  <c r="M4" i="169"/>
  <c r="V4" i="169"/>
  <c r="W4" i="169"/>
  <c r="I5" i="169"/>
  <c r="M5" i="169"/>
  <c r="V5" i="169"/>
  <c r="W5" i="169"/>
  <c r="AE5" i="169"/>
  <c r="I6" i="169"/>
  <c r="M6" i="169"/>
  <c r="V6" i="169"/>
  <c r="W6" i="169"/>
  <c r="I7" i="169"/>
  <c r="M7" i="169"/>
  <c r="V7" i="169"/>
  <c r="W7" i="169"/>
  <c r="I8" i="169"/>
  <c r="M8" i="169"/>
  <c r="V8" i="169"/>
  <c r="W8" i="169"/>
  <c r="I9" i="169"/>
  <c r="M9" i="169"/>
  <c r="V9" i="169"/>
  <c r="W9" i="169"/>
  <c r="I10" i="169"/>
  <c r="M10" i="169"/>
  <c r="V10" i="169"/>
  <c r="W10" i="169"/>
  <c r="E11" i="169"/>
  <c r="I11" i="169"/>
  <c r="M11" i="169"/>
  <c r="V11" i="169"/>
  <c r="W11" i="169"/>
  <c r="E12" i="169"/>
  <c r="I12" i="169"/>
  <c r="M12" i="169"/>
  <c r="V12" i="169"/>
  <c r="W12" i="169"/>
  <c r="E13" i="169"/>
  <c r="E14" i="169"/>
  <c r="E15" i="169"/>
  <c r="E16" i="169"/>
  <c r="E17" i="169"/>
  <c r="E18" i="169"/>
  <c r="E19" i="169"/>
  <c r="E20" i="169"/>
  <c r="E21" i="169"/>
  <c r="E22" i="169"/>
  <c r="E23" i="169"/>
  <c r="E24" i="169"/>
  <c r="E25" i="169"/>
  <c r="E26" i="169"/>
  <c r="F22" i="169" s="1"/>
  <c r="C27" i="169"/>
  <c r="G33" i="169"/>
  <c r="N4" i="169" s="1"/>
  <c r="F36" i="169"/>
  <c r="F18" i="169" l="1"/>
  <c r="F21" i="169"/>
  <c r="F20" i="169"/>
  <c r="F16" i="169"/>
  <c r="N10" i="169"/>
  <c r="N8" i="169"/>
  <c r="N6" i="169"/>
  <c r="F14" i="169"/>
  <c r="F25" i="169"/>
  <c r="F23" i="169"/>
  <c r="F19" i="169"/>
  <c r="F11" i="169"/>
  <c r="N5" i="169"/>
  <c r="S5" i="171"/>
  <c r="S6" i="171"/>
  <c r="S8" i="171"/>
  <c r="S10" i="171"/>
  <c r="G25" i="171"/>
  <c r="S4" i="171"/>
  <c r="S7" i="171"/>
  <c r="S9" i="171"/>
  <c r="S11" i="171"/>
  <c r="S12" i="171"/>
  <c r="F31" i="171"/>
  <c r="P12" i="170"/>
  <c r="R12" i="170" s="1"/>
  <c r="U12" i="170"/>
  <c r="X12" i="170" s="1"/>
  <c r="Y12" i="170" s="1"/>
  <c r="Z12" i="170" s="1"/>
  <c r="Q12" i="170" s="1"/>
  <c r="P7" i="170"/>
  <c r="R7" i="170" s="1"/>
  <c r="U7" i="170"/>
  <c r="X7" i="170" s="1"/>
  <c r="Y7" i="170" s="1"/>
  <c r="Z7" i="170" s="1"/>
  <c r="Q7" i="170" s="1"/>
  <c r="P9" i="170"/>
  <c r="R9" i="170" s="1"/>
  <c r="U9" i="170"/>
  <c r="X9" i="170" s="1"/>
  <c r="Y9" i="170" s="1"/>
  <c r="Z9" i="170" s="1"/>
  <c r="Q9" i="170" s="1"/>
  <c r="G12" i="170"/>
  <c r="G13" i="170" s="1"/>
  <c r="G14" i="170" s="1"/>
  <c r="G15" i="170" s="1"/>
  <c r="G16" i="170" s="1"/>
  <c r="G17" i="170" s="1"/>
  <c r="G18" i="170" s="1"/>
  <c r="G19" i="170" s="1"/>
  <c r="G20" i="170" s="1"/>
  <c r="G21" i="170" s="1"/>
  <c r="G22" i="170" s="1"/>
  <c r="G23" i="170" s="1"/>
  <c r="G24" i="170" s="1"/>
  <c r="F26" i="170"/>
  <c r="P4" i="169"/>
  <c r="U4" i="169"/>
  <c r="X4" i="169" s="1"/>
  <c r="Y4" i="169" s="1"/>
  <c r="Z4" i="169" s="1"/>
  <c r="Q4" i="169" s="1"/>
  <c r="P10" i="169"/>
  <c r="R10" i="169" s="1"/>
  <c r="U10" i="169"/>
  <c r="X10" i="169" s="1"/>
  <c r="Y10" i="169" s="1"/>
  <c r="Z10" i="169" s="1"/>
  <c r="Q10" i="169" s="1"/>
  <c r="P8" i="169"/>
  <c r="U8" i="169"/>
  <c r="X8" i="169" s="1"/>
  <c r="Y8" i="169" s="1"/>
  <c r="Z8" i="169" s="1"/>
  <c r="P6" i="169"/>
  <c r="R6" i="169" s="1"/>
  <c r="U6" i="169"/>
  <c r="X6" i="169" s="1"/>
  <c r="Y6" i="169" s="1"/>
  <c r="Z6" i="169" s="1"/>
  <c r="Q6" i="169" s="1"/>
  <c r="P5" i="169"/>
  <c r="U5" i="169"/>
  <c r="X5" i="169" s="1"/>
  <c r="Y5" i="169" s="1"/>
  <c r="Z5" i="169" s="1"/>
  <c r="Q5" i="169" s="1"/>
  <c r="R4" i="169"/>
  <c r="Q8" i="169"/>
  <c r="F17" i="169"/>
  <c r="F15" i="169"/>
  <c r="F13" i="169"/>
  <c r="N12" i="169"/>
  <c r="F12" i="169"/>
  <c r="N11" i="169"/>
  <c r="N9" i="169"/>
  <c r="R8" i="169"/>
  <c r="N7" i="169"/>
  <c r="R5" i="169"/>
  <c r="E27" i="169"/>
  <c r="F27" i="169" s="1"/>
  <c r="F24" i="169"/>
  <c r="I4" i="168"/>
  <c r="M4" i="168"/>
  <c r="V4" i="168"/>
  <c r="W4" i="168"/>
  <c r="I5" i="168"/>
  <c r="M5" i="168"/>
  <c r="V5" i="168"/>
  <c r="W5" i="168"/>
  <c r="AE5" i="168"/>
  <c r="I6" i="168"/>
  <c r="M6" i="168"/>
  <c r="V6" i="168"/>
  <c r="W6" i="168"/>
  <c r="I7" i="168"/>
  <c r="M7" i="168"/>
  <c r="V7" i="168"/>
  <c r="W7" i="168"/>
  <c r="I8" i="168"/>
  <c r="M8" i="168"/>
  <c r="V8" i="168"/>
  <c r="W8" i="168"/>
  <c r="I9" i="168"/>
  <c r="M9" i="168"/>
  <c r="V9" i="168"/>
  <c r="W9" i="168"/>
  <c r="I10" i="168"/>
  <c r="M10" i="168"/>
  <c r="V10" i="168"/>
  <c r="W10" i="168"/>
  <c r="E11" i="168"/>
  <c r="I11" i="168"/>
  <c r="M11" i="168"/>
  <c r="V11" i="168"/>
  <c r="W11" i="168"/>
  <c r="E12" i="168"/>
  <c r="E26" i="168" s="1"/>
  <c r="E27" i="168" s="1"/>
  <c r="F27" i="168" s="1"/>
  <c r="I12" i="168"/>
  <c r="M12" i="168"/>
  <c r="V12" i="168"/>
  <c r="W12" i="168"/>
  <c r="E13" i="168"/>
  <c r="E14" i="168"/>
  <c r="E15" i="168"/>
  <c r="E16" i="168"/>
  <c r="E17" i="168"/>
  <c r="E18" i="168"/>
  <c r="E19" i="168"/>
  <c r="E20" i="168"/>
  <c r="E21" i="168"/>
  <c r="E22" i="168"/>
  <c r="E23" i="168"/>
  <c r="E24" i="168"/>
  <c r="E25" i="168"/>
  <c r="C27" i="168"/>
  <c r="G33" i="168"/>
  <c r="N4" i="168" s="1"/>
  <c r="F36" i="168"/>
  <c r="F24" i="168" l="1"/>
  <c r="F16" i="168"/>
  <c r="N10" i="168"/>
  <c r="P10" i="168" s="1"/>
  <c r="R10" i="168" s="1"/>
  <c r="N8" i="168"/>
  <c r="P8" i="168" s="1"/>
  <c r="R8" i="168" s="1"/>
  <c r="N6" i="168"/>
  <c r="F11" i="168"/>
  <c r="N5" i="168"/>
  <c r="P5" i="168" s="1"/>
  <c r="R5" i="168" s="1"/>
  <c r="F20" i="168"/>
  <c r="F22" i="168"/>
  <c r="F18" i="168"/>
  <c r="F14" i="168"/>
  <c r="S5" i="170"/>
  <c r="S6" i="170"/>
  <c r="S8" i="170"/>
  <c r="S10" i="170"/>
  <c r="G25" i="170"/>
  <c r="S4" i="170"/>
  <c r="S7" i="170"/>
  <c r="S9" i="170"/>
  <c r="S11" i="170"/>
  <c r="S12" i="170"/>
  <c r="F31" i="170"/>
  <c r="P7" i="169"/>
  <c r="R7" i="169" s="1"/>
  <c r="U7" i="169"/>
  <c r="X7" i="169" s="1"/>
  <c r="Y7" i="169" s="1"/>
  <c r="Z7" i="169" s="1"/>
  <c r="Q7" i="169" s="1"/>
  <c r="P9" i="169"/>
  <c r="R9" i="169" s="1"/>
  <c r="U9" i="169"/>
  <c r="X9" i="169" s="1"/>
  <c r="Y9" i="169" s="1"/>
  <c r="Z9" i="169" s="1"/>
  <c r="Q9" i="169" s="1"/>
  <c r="P11" i="169"/>
  <c r="R11" i="169" s="1"/>
  <c r="U11" i="169"/>
  <c r="X11" i="169" s="1"/>
  <c r="Y11" i="169" s="1"/>
  <c r="Z11" i="169" s="1"/>
  <c r="Q11" i="169" s="1"/>
  <c r="P12" i="169"/>
  <c r="R12" i="169" s="1"/>
  <c r="U12" i="169"/>
  <c r="X12" i="169" s="1"/>
  <c r="Y12" i="169" s="1"/>
  <c r="Z12" i="169" s="1"/>
  <c r="Q12" i="169" s="1"/>
  <c r="G12" i="169"/>
  <c r="G13" i="169" s="1"/>
  <c r="G14" i="169" s="1"/>
  <c r="G15" i="169" s="1"/>
  <c r="G16" i="169" s="1"/>
  <c r="G17" i="169" s="1"/>
  <c r="G18" i="169" s="1"/>
  <c r="G19" i="169" s="1"/>
  <c r="G20" i="169" s="1"/>
  <c r="G21" i="169" s="1"/>
  <c r="G22" i="169" s="1"/>
  <c r="G23" i="169" s="1"/>
  <c r="G24" i="169" s="1"/>
  <c r="F26" i="169"/>
  <c r="P4" i="168"/>
  <c r="U4" i="168"/>
  <c r="X4" i="168" s="1"/>
  <c r="Y4" i="168" s="1"/>
  <c r="Z4" i="168" s="1"/>
  <c r="Q4" i="168" s="1"/>
  <c r="U8" i="168"/>
  <c r="X8" i="168" s="1"/>
  <c r="Y8" i="168" s="1"/>
  <c r="Z8" i="168" s="1"/>
  <c r="Q8" i="168" s="1"/>
  <c r="P6" i="168"/>
  <c r="U6" i="168"/>
  <c r="X6" i="168" s="1"/>
  <c r="Y6" i="168" s="1"/>
  <c r="Z6" i="168" s="1"/>
  <c r="R4" i="168"/>
  <c r="Q6" i="168"/>
  <c r="F15" i="168"/>
  <c r="N12" i="168"/>
  <c r="F12" i="168"/>
  <c r="N11" i="168"/>
  <c r="N9" i="168"/>
  <c r="N7" i="168"/>
  <c r="R6" i="168"/>
  <c r="F25" i="168"/>
  <c r="F23" i="168"/>
  <c r="F21" i="168"/>
  <c r="F19" i="168"/>
  <c r="F17" i="168"/>
  <c r="F13" i="168"/>
  <c r="I4" i="167"/>
  <c r="M4" i="167"/>
  <c r="V4" i="167"/>
  <c r="W4" i="167"/>
  <c r="I5" i="167"/>
  <c r="M5" i="167"/>
  <c r="V5" i="167"/>
  <c r="W5" i="167"/>
  <c r="AE5" i="167"/>
  <c r="I6" i="167"/>
  <c r="M6" i="167"/>
  <c r="V6" i="167"/>
  <c r="W6" i="167"/>
  <c r="I7" i="167"/>
  <c r="M7" i="167"/>
  <c r="V7" i="167"/>
  <c r="W7" i="167"/>
  <c r="I8" i="167"/>
  <c r="M8" i="167"/>
  <c r="V8" i="167"/>
  <c r="W8" i="167"/>
  <c r="I9" i="167"/>
  <c r="M9" i="167"/>
  <c r="V9" i="167"/>
  <c r="W9" i="167"/>
  <c r="I10" i="167"/>
  <c r="M10" i="167"/>
  <c r="V10" i="167"/>
  <c r="W10" i="167"/>
  <c r="E11" i="167"/>
  <c r="I11" i="167"/>
  <c r="M11" i="167"/>
  <c r="V11" i="167"/>
  <c r="W11" i="167"/>
  <c r="E12" i="167"/>
  <c r="I12" i="167"/>
  <c r="M12" i="167"/>
  <c r="V12" i="167"/>
  <c r="W12" i="167"/>
  <c r="E13" i="167"/>
  <c r="E14" i="167"/>
  <c r="E15" i="167"/>
  <c r="E16" i="167"/>
  <c r="E17" i="167"/>
  <c r="E18" i="167"/>
  <c r="E19" i="167"/>
  <c r="E20" i="167"/>
  <c r="E21" i="167"/>
  <c r="E22" i="167"/>
  <c r="E23" i="167"/>
  <c r="E24" i="167"/>
  <c r="E25" i="167"/>
  <c r="E26" i="167"/>
  <c r="F18" i="167" s="1"/>
  <c r="C27" i="167"/>
  <c r="G33" i="167"/>
  <c r="N4" i="167" s="1"/>
  <c r="F36" i="167"/>
  <c r="F22" i="167" l="1"/>
  <c r="F17" i="167"/>
  <c r="F24" i="167"/>
  <c r="F16" i="167"/>
  <c r="N10" i="167"/>
  <c r="N8" i="167"/>
  <c r="N6" i="167"/>
  <c r="P6" i="167" s="1"/>
  <c r="R6" i="167" s="1"/>
  <c r="U10" i="168"/>
  <c r="X10" i="168" s="1"/>
  <c r="Y10" i="168" s="1"/>
  <c r="Z10" i="168" s="1"/>
  <c r="Q10" i="168" s="1"/>
  <c r="U5" i="168"/>
  <c r="X5" i="168" s="1"/>
  <c r="Y5" i="168" s="1"/>
  <c r="Z5" i="168" s="1"/>
  <c r="Q5" i="168" s="1"/>
  <c r="F14" i="167"/>
  <c r="F21" i="167"/>
  <c r="F19" i="167"/>
  <c r="F11" i="167"/>
  <c r="N5" i="167"/>
  <c r="S5" i="169"/>
  <c r="S6" i="169"/>
  <c r="S8" i="169"/>
  <c r="S10" i="169"/>
  <c r="G25" i="169"/>
  <c r="S4" i="169"/>
  <c r="S7" i="169"/>
  <c r="S9" i="169"/>
  <c r="S11" i="169"/>
  <c r="S12" i="169"/>
  <c r="F31" i="169"/>
  <c r="G12" i="168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F26" i="168"/>
  <c r="P7" i="168"/>
  <c r="R7" i="168" s="1"/>
  <c r="U7" i="168"/>
  <c r="X7" i="168" s="1"/>
  <c r="Y7" i="168" s="1"/>
  <c r="Z7" i="168" s="1"/>
  <c r="Q7" i="168" s="1"/>
  <c r="P9" i="168"/>
  <c r="R9" i="168" s="1"/>
  <c r="U9" i="168"/>
  <c r="X9" i="168" s="1"/>
  <c r="Y9" i="168" s="1"/>
  <c r="Z9" i="168" s="1"/>
  <c r="Q9" i="168" s="1"/>
  <c r="P11" i="168"/>
  <c r="R11" i="168" s="1"/>
  <c r="U11" i="168"/>
  <c r="X11" i="168" s="1"/>
  <c r="Y11" i="168" s="1"/>
  <c r="Z11" i="168" s="1"/>
  <c r="Q11" i="168" s="1"/>
  <c r="P12" i="168"/>
  <c r="R12" i="168" s="1"/>
  <c r="U12" i="168"/>
  <c r="X12" i="168" s="1"/>
  <c r="Y12" i="168" s="1"/>
  <c r="Z12" i="168" s="1"/>
  <c r="Q12" i="168" s="1"/>
  <c r="P4" i="167"/>
  <c r="U4" i="167"/>
  <c r="X4" i="167" s="1"/>
  <c r="Y4" i="167" s="1"/>
  <c r="Z4" i="167" s="1"/>
  <c r="P10" i="167"/>
  <c r="U10" i="167"/>
  <c r="X10" i="167" s="1"/>
  <c r="Y10" i="167" s="1"/>
  <c r="Z10" i="167" s="1"/>
  <c r="P8" i="167"/>
  <c r="R8" i="167" s="1"/>
  <c r="U8" i="167"/>
  <c r="X8" i="167" s="1"/>
  <c r="Y8" i="167" s="1"/>
  <c r="Z8" i="167" s="1"/>
  <c r="Q8" i="167" s="1"/>
  <c r="U6" i="167"/>
  <c r="X6" i="167" s="1"/>
  <c r="Y6" i="167" s="1"/>
  <c r="Z6" i="167" s="1"/>
  <c r="Q6" i="167" s="1"/>
  <c r="R4" i="167"/>
  <c r="Q4" i="167"/>
  <c r="P5" i="167"/>
  <c r="U5" i="167"/>
  <c r="X5" i="167" s="1"/>
  <c r="Y5" i="167" s="1"/>
  <c r="Z5" i="167" s="1"/>
  <c r="Q5" i="167" s="1"/>
  <c r="Q10" i="167"/>
  <c r="F25" i="167"/>
  <c r="F23" i="167"/>
  <c r="F15" i="167"/>
  <c r="F13" i="167"/>
  <c r="N12" i="167"/>
  <c r="F12" i="167"/>
  <c r="N11" i="167"/>
  <c r="R10" i="167"/>
  <c r="N9" i="167"/>
  <c r="N7" i="167"/>
  <c r="R5" i="167"/>
  <c r="E27" i="167"/>
  <c r="F27" i="167" s="1"/>
  <c r="F20" i="167"/>
  <c r="F36" i="166"/>
  <c r="G33" i="166"/>
  <c r="C27" i="166"/>
  <c r="E25" i="166"/>
  <c r="E24" i="166"/>
  <c r="E23" i="166"/>
  <c r="E22" i="166"/>
  <c r="E21" i="166"/>
  <c r="E20" i="166"/>
  <c r="E19" i="166"/>
  <c r="E18" i="166"/>
  <c r="E17" i="166"/>
  <c r="E16" i="166"/>
  <c r="E15" i="166"/>
  <c r="E14" i="166"/>
  <c r="E13" i="166"/>
  <c r="W12" i="166"/>
  <c r="V12" i="166"/>
  <c r="M12" i="166"/>
  <c r="I12" i="166"/>
  <c r="E12" i="166"/>
  <c r="E26" i="166" s="1"/>
  <c r="W11" i="166"/>
  <c r="V11" i="166"/>
  <c r="M11" i="166"/>
  <c r="N11" i="166" s="1"/>
  <c r="I11" i="166"/>
  <c r="E11" i="166"/>
  <c r="W10" i="166"/>
  <c r="V10" i="166"/>
  <c r="N10" i="166"/>
  <c r="U10" i="166" s="1"/>
  <c r="X10" i="166" s="1"/>
  <c r="Y10" i="166" s="1"/>
  <c r="Z10" i="166" s="1"/>
  <c r="Q10" i="166" s="1"/>
  <c r="M10" i="166"/>
  <c r="I10" i="166"/>
  <c r="W9" i="166"/>
  <c r="V9" i="166"/>
  <c r="M9" i="166"/>
  <c r="N9" i="166" s="1"/>
  <c r="I9" i="166"/>
  <c r="W8" i="166"/>
  <c r="V8" i="166"/>
  <c r="M8" i="166"/>
  <c r="N8" i="166" s="1"/>
  <c r="U8" i="166" s="1"/>
  <c r="X8" i="166" s="1"/>
  <c r="Y8" i="166" s="1"/>
  <c r="Z8" i="166" s="1"/>
  <c r="Q8" i="166" s="1"/>
  <c r="I8" i="166"/>
  <c r="W7" i="166"/>
  <c r="V7" i="166"/>
  <c r="M7" i="166"/>
  <c r="N7" i="166" s="1"/>
  <c r="I7" i="166"/>
  <c r="W6" i="166"/>
  <c r="V6" i="166"/>
  <c r="M6" i="166"/>
  <c r="N6" i="166" s="1"/>
  <c r="U6" i="166" s="1"/>
  <c r="X6" i="166" s="1"/>
  <c r="Y6" i="166" s="1"/>
  <c r="Z6" i="166" s="1"/>
  <c r="Q6" i="166" s="1"/>
  <c r="I6" i="166"/>
  <c r="AE5" i="166"/>
  <c r="W5" i="166"/>
  <c r="V5" i="166"/>
  <c r="N5" i="166"/>
  <c r="U5" i="166" s="1"/>
  <c r="X5" i="166" s="1"/>
  <c r="Y5" i="166" s="1"/>
  <c r="Z5" i="166" s="1"/>
  <c r="Q5" i="166" s="1"/>
  <c r="M5" i="166"/>
  <c r="I5" i="166"/>
  <c r="W4" i="166"/>
  <c r="V4" i="166"/>
  <c r="M4" i="166"/>
  <c r="N4" i="166" s="1"/>
  <c r="I4" i="166"/>
  <c r="F13" i="166" l="1"/>
  <c r="F21" i="166"/>
  <c r="N12" i="166"/>
  <c r="U12" i="166" s="1"/>
  <c r="X12" i="166" s="1"/>
  <c r="Y12" i="166" s="1"/>
  <c r="Z12" i="166" s="1"/>
  <c r="Q12" i="166" s="1"/>
  <c r="F17" i="166"/>
  <c r="F25" i="166"/>
  <c r="F15" i="166"/>
  <c r="F19" i="166"/>
  <c r="F23" i="166"/>
  <c r="S5" i="168"/>
  <c r="S6" i="168"/>
  <c r="S8" i="168"/>
  <c r="S10" i="168"/>
  <c r="G25" i="168"/>
  <c r="S12" i="168"/>
  <c r="S4" i="168"/>
  <c r="S7" i="168"/>
  <c r="S9" i="168"/>
  <c r="S11" i="168"/>
  <c r="F31" i="168"/>
  <c r="G12" i="167"/>
  <c r="G13" i="167" s="1"/>
  <c r="G14" i="167" s="1"/>
  <c r="G15" i="167" s="1"/>
  <c r="G16" i="167" s="1"/>
  <c r="G17" i="167" s="1"/>
  <c r="G18" i="167" s="1"/>
  <c r="G19" i="167" s="1"/>
  <c r="G20" i="167" s="1"/>
  <c r="G21" i="167" s="1"/>
  <c r="G22" i="167" s="1"/>
  <c r="G23" i="167" s="1"/>
  <c r="G24" i="167" s="1"/>
  <c r="F26" i="167"/>
  <c r="P7" i="167"/>
  <c r="R7" i="167" s="1"/>
  <c r="U7" i="167"/>
  <c r="X7" i="167" s="1"/>
  <c r="Y7" i="167" s="1"/>
  <c r="Z7" i="167" s="1"/>
  <c r="Q7" i="167" s="1"/>
  <c r="P9" i="167"/>
  <c r="R9" i="167" s="1"/>
  <c r="U9" i="167"/>
  <c r="X9" i="167" s="1"/>
  <c r="Y9" i="167" s="1"/>
  <c r="Z9" i="167" s="1"/>
  <c r="Q9" i="167" s="1"/>
  <c r="P11" i="167"/>
  <c r="R11" i="167" s="1"/>
  <c r="U11" i="167"/>
  <c r="X11" i="167" s="1"/>
  <c r="Y11" i="167" s="1"/>
  <c r="Z11" i="167" s="1"/>
  <c r="Q11" i="167" s="1"/>
  <c r="P12" i="167"/>
  <c r="R12" i="167" s="1"/>
  <c r="U12" i="167"/>
  <c r="X12" i="167" s="1"/>
  <c r="Y12" i="167" s="1"/>
  <c r="Z12" i="167" s="1"/>
  <c r="Q12" i="167" s="1"/>
  <c r="U4" i="166"/>
  <c r="X4" i="166" s="1"/>
  <c r="Y4" i="166" s="1"/>
  <c r="Z4" i="166" s="1"/>
  <c r="P4" i="166"/>
  <c r="R4" i="166" s="1"/>
  <c r="U9" i="166"/>
  <c r="X9" i="166" s="1"/>
  <c r="Y9" i="166" s="1"/>
  <c r="Z9" i="166" s="1"/>
  <c r="Q9" i="166" s="1"/>
  <c r="P9" i="166"/>
  <c r="R9" i="166" s="1"/>
  <c r="U11" i="166"/>
  <c r="X11" i="166" s="1"/>
  <c r="Y11" i="166" s="1"/>
  <c r="Z11" i="166" s="1"/>
  <c r="P11" i="166"/>
  <c r="R11" i="166" s="1"/>
  <c r="U7" i="166"/>
  <c r="X7" i="166" s="1"/>
  <c r="Y7" i="166" s="1"/>
  <c r="Z7" i="166" s="1"/>
  <c r="Q7" i="166" s="1"/>
  <c r="P7" i="166"/>
  <c r="R7" i="166" s="1"/>
  <c r="E27" i="166"/>
  <c r="F27" i="166" s="1"/>
  <c r="F24" i="166"/>
  <c r="F22" i="166"/>
  <c r="F20" i="166"/>
  <c r="F18" i="166"/>
  <c r="F16" i="166"/>
  <c r="F14" i="166"/>
  <c r="F11" i="166"/>
  <c r="P12" i="166"/>
  <c r="R12" i="166" s="1"/>
  <c r="Q4" i="166"/>
  <c r="Q11" i="166"/>
  <c r="P5" i="166"/>
  <c r="R5" i="166" s="1"/>
  <c r="P6" i="166"/>
  <c r="R6" i="166" s="1"/>
  <c r="P8" i="166"/>
  <c r="R8" i="166" s="1"/>
  <c r="P10" i="166"/>
  <c r="R10" i="166" s="1"/>
  <c r="F12" i="166"/>
  <c r="S5" i="167" l="1"/>
  <c r="S6" i="167"/>
  <c r="S8" i="167"/>
  <c r="S10" i="167"/>
  <c r="G25" i="167"/>
  <c r="S4" i="167"/>
  <c r="S7" i="167"/>
  <c r="S9" i="167"/>
  <c r="S11" i="167"/>
  <c r="S12" i="167"/>
  <c r="F31" i="167"/>
  <c r="F26" i="166"/>
  <c r="G12" i="166"/>
  <c r="G13" i="166" s="1"/>
  <c r="G14" i="166" s="1"/>
  <c r="G15" i="166" s="1"/>
  <c r="G16" i="166" s="1"/>
  <c r="G17" i="166" s="1"/>
  <c r="G18" i="166" s="1"/>
  <c r="G19" i="166" s="1"/>
  <c r="G20" i="166" s="1"/>
  <c r="G21" i="166" s="1"/>
  <c r="G22" i="166" s="1"/>
  <c r="G23" i="166" s="1"/>
  <c r="G24" i="166" s="1"/>
  <c r="S12" i="166" l="1"/>
  <c r="S11" i="166"/>
  <c r="S9" i="166"/>
  <c r="S7" i="166"/>
  <c r="S4" i="166"/>
  <c r="F31" i="166"/>
  <c r="G25" i="166"/>
  <c r="S10" i="166"/>
  <c r="S8" i="166"/>
  <c r="S6" i="166"/>
  <c r="S5" i="166"/>
  <c r="F36" i="165" l="1"/>
  <c r="G33" i="165"/>
  <c r="E25" i="165"/>
  <c r="E24" i="165"/>
  <c r="E23" i="165"/>
  <c r="E22" i="165"/>
  <c r="E21" i="165"/>
  <c r="E20" i="165"/>
  <c r="E19" i="165"/>
  <c r="E18" i="165"/>
  <c r="E17" i="165"/>
  <c r="E16" i="165"/>
  <c r="E15" i="165"/>
  <c r="E14" i="165"/>
  <c r="E13" i="165"/>
  <c r="W12" i="165"/>
  <c r="V12" i="165"/>
  <c r="M12" i="165"/>
  <c r="N12" i="165" s="1"/>
  <c r="U12" i="165" s="1"/>
  <c r="X12" i="165" s="1"/>
  <c r="Y12" i="165" s="1"/>
  <c r="Z12" i="165" s="1"/>
  <c r="Q12" i="165" s="1"/>
  <c r="I12" i="165"/>
  <c r="E12" i="165"/>
  <c r="W11" i="165"/>
  <c r="V11" i="165"/>
  <c r="N11" i="165"/>
  <c r="U11" i="165" s="1"/>
  <c r="X11" i="165" s="1"/>
  <c r="Y11" i="165" s="1"/>
  <c r="Z11" i="165" s="1"/>
  <c r="Q11" i="165" s="1"/>
  <c r="M11" i="165"/>
  <c r="I11" i="165"/>
  <c r="E11" i="165"/>
  <c r="W10" i="165"/>
  <c r="V10" i="165"/>
  <c r="M10" i="165"/>
  <c r="N10" i="165" s="1"/>
  <c r="I10" i="165"/>
  <c r="W9" i="165"/>
  <c r="V9" i="165"/>
  <c r="M9" i="165"/>
  <c r="N9" i="165" s="1"/>
  <c r="U9" i="165" s="1"/>
  <c r="X9" i="165" s="1"/>
  <c r="Y9" i="165" s="1"/>
  <c r="Z9" i="165" s="1"/>
  <c r="Q9" i="165" s="1"/>
  <c r="I9" i="165"/>
  <c r="W8" i="165"/>
  <c r="V8" i="165"/>
  <c r="M8" i="165"/>
  <c r="N8" i="165" s="1"/>
  <c r="I8" i="165"/>
  <c r="W7" i="165"/>
  <c r="V7" i="165"/>
  <c r="M7" i="165"/>
  <c r="N7" i="165" s="1"/>
  <c r="U7" i="165" s="1"/>
  <c r="X7" i="165" s="1"/>
  <c r="Y7" i="165" s="1"/>
  <c r="Z7" i="165" s="1"/>
  <c r="Q7" i="165" s="1"/>
  <c r="I7" i="165"/>
  <c r="W6" i="165"/>
  <c r="V6" i="165"/>
  <c r="M6" i="165"/>
  <c r="N6" i="165" s="1"/>
  <c r="I6" i="165"/>
  <c r="AE5" i="165"/>
  <c r="W5" i="165"/>
  <c r="V5" i="165"/>
  <c r="M5" i="165"/>
  <c r="N5" i="165" s="1"/>
  <c r="I5" i="165"/>
  <c r="W4" i="165"/>
  <c r="V4" i="165"/>
  <c r="M4" i="165"/>
  <c r="N4" i="165" s="1"/>
  <c r="U4" i="165" s="1"/>
  <c r="X4" i="165" s="1"/>
  <c r="Y4" i="165" s="1"/>
  <c r="Z4" i="165" s="1"/>
  <c r="I4" i="165"/>
  <c r="Q4" i="165" l="1"/>
  <c r="U6" i="165"/>
  <c r="X6" i="165" s="1"/>
  <c r="Y6" i="165" s="1"/>
  <c r="Z6" i="165" s="1"/>
  <c r="P6" i="165"/>
  <c r="R6" i="165" s="1"/>
  <c r="U10" i="165"/>
  <c r="X10" i="165" s="1"/>
  <c r="Y10" i="165" s="1"/>
  <c r="Z10" i="165" s="1"/>
  <c r="Q10" i="165" s="1"/>
  <c r="P10" i="165"/>
  <c r="R10" i="165" s="1"/>
  <c r="U5" i="165"/>
  <c r="X5" i="165" s="1"/>
  <c r="Y5" i="165" s="1"/>
  <c r="Z5" i="165" s="1"/>
  <c r="P5" i="165"/>
  <c r="R5" i="165" s="1"/>
  <c r="U8" i="165"/>
  <c r="X8" i="165" s="1"/>
  <c r="Y8" i="165" s="1"/>
  <c r="Z8" i="165" s="1"/>
  <c r="P8" i="165"/>
  <c r="R8" i="165" s="1"/>
  <c r="Q6" i="165"/>
  <c r="F16" i="165"/>
  <c r="F24" i="165"/>
  <c r="Q5" i="165"/>
  <c r="Q8" i="165"/>
  <c r="E26" i="165"/>
  <c r="F20" i="165" s="1"/>
  <c r="P4" i="165"/>
  <c r="R4" i="165" s="1"/>
  <c r="P7" i="165"/>
  <c r="R7" i="165" s="1"/>
  <c r="P9" i="165"/>
  <c r="R9" i="165" s="1"/>
  <c r="P11" i="165"/>
  <c r="R11" i="165" s="1"/>
  <c r="P12" i="165"/>
  <c r="R12" i="165" s="1"/>
  <c r="E27" i="165" l="1"/>
  <c r="F27" i="165" s="1"/>
  <c r="F25" i="165"/>
  <c r="F23" i="165"/>
  <c r="F21" i="165"/>
  <c r="F19" i="165"/>
  <c r="F17" i="165"/>
  <c r="F15" i="165"/>
  <c r="F13" i="165"/>
  <c r="F12" i="165"/>
  <c r="F11" i="165"/>
  <c r="F22" i="165"/>
  <c r="F18" i="165"/>
  <c r="F14" i="165"/>
  <c r="F26" i="165" l="1"/>
  <c r="G12" i="165"/>
  <c r="G13" i="165" s="1"/>
  <c r="G14" i="165" s="1"/>
  <c r="G15" i="165" s="1"/>
  <c r="G16" i="165" s="1"/>
  <c r="G17" i="165" s="1"/>
  <c r="G18" i="165" s="1"/>
  <c r="G19" i="165" s="1"/>
  <c r="G20" i="165" s="1"/>
  <c r="G21" i="165" s="1"/>
  <c r="G22" i="165" s="1"/>
  <c r="G23" i="165" s="1"/>
  <c r="G24" i="165" s="1"/>
  <c r="G25" i="165" l="1"/>
  <c r="S10" i="165"/>
  <c r="S8" i="165"/>
  <c r="S6" i="165"/>
  <c r="S5" i="165"/>
  <c r="S7" i="165"/>
  <c r="S4" i="165"/>
  <c r="F31" i="165"/>
  <c r="S12" i="165"/>
  <c r="S11" i="165"/>
  <c r="S9" i="165"/>
  <c r="F36" i="164" l="1"/>
  <c r="G33" i="164"/>
  <c r="C27" i="164"/>
  <c r="E25" i="164"/>
  <c r="E24" i="164"/>
  <c r="E23" i="164"/>
  <c r="E22" i="164"/>
  <c r="E21" i="164"/>
  <c r="E20" i="164"/>
  <c r="E19" i="164"/>
  <c r="E18" i="164"/>
  <c r="E17" i="164"/>
  <c r="E16" i="164"/>
  <c r="E15" i="164"/>
  <c r="E14" i="164"/>
  <c r="E13" i="164"/>
  <c r="W12" i="164"/>
  <c r="V12" i="164"/>
  <c r="M12" i="164"/>
  <c r="N12" i="164" s="1"/>
  <c r="I12" i="164"/>
  <c r="E12" i="164"/>
  <c r="W11" i="164"/>
  <c r="V11" i="164"/>
  <c r="M11" i="164"/>
  <c r="N11" i="164" s="1"/>
  <c r="I11" i="164"/>
  <c r="E11" i="164"/>
  <c r="W10" i="164"/>
  <c r="V10" i="164"/>
  <c r="M10" i="164"/>
  <c r="N10" i="164" s="1"/>
  <c r="U10" i="164" s="1"/>
  <c r="X10" i="164" s="1"/>
  <c r="Y10" i="164" s="1"/>
  <c r="Z10" i="164" s="1"/>
  <c r="Q10" i="164" s="1"/>
  <c r="I10" i="164"/>
  <c r="W9" i="164"/>
  <c r="V9" i="164"/>
  <c r="M9" i="164"/>
  <c r="N9" i="164" s="1"/>
  <c r="I9" i="164"/>
  <c r="W8" i="164"/>
  <c r="V8" i="164"/>
  <c r="M8" i="164"/>
  <c r="N8" i="164" s="1"/>
  <c r="U8" i="164" s="1"/>
  <c r="X8" i="164" s="1"/>
  <c r="Y8" i="164" s="1"/>
  <c r="Z8" i="164" s="1"/>
  <c r="I8" i="164"/>
  <c r="W7" i="164"/>
  <c r="V7" i="164"/>
  <c r="M7" i="164"/>
  <c r="N7" i="164" s="1"/>
  <c r="I7" i="164"/>
  <c r="W6" i="164"/>
  <c r="V6" i="164"/>
  <c r="M6" i="164"/>
  <c r="N6" i="164" s="1"/>
  <c r="U6" i="164" s="1"/>
  <c r="X6" i="164" s="1"/>
  <c r="Y6" i="164" s="1"/>
  <c r="Z6" i="164" s="1"/>
  <c r="I6" i="164"/>
  <c r="AE5" i="164"/>
  <c r="W5" i="164"/>
  <c r="V5" i="164"/>
  <c r="M5" i="164"/>
  <c r="N5" i="164" s="1"/>
  <c r="U5" i="164" s="1"/>
  <c r="X5" i="164" s="1"/>
  <c r="Y5" i="164" s="1"/>
  <c r="Z5" i="164" s="1"/>
  <c r="I5" i="164"/>
  <c r="W4" i="164"/>
  <c r="V4" i="164"/>
  <c r="M4" i="164"/>
  <c r="N4" i="164" s="1"/>
  <c r="I4" i="164"/>
  <c r="Q6" i="164" l="1"/>
  <c r="F15" i="164"/>
  <c r="Q5" i="164"/>
  <c r="F13" i="164"/>
  <c r="E26" i="164"/>
  <c r="F17" i="164" s="1"/>
  <c r="U4" i="164"/>
  <c r="X4" i="164" s="1"/>
  <c r="Y4" i="164" s="1"/>
  <c r="Z4" i="164" s="1"/>
  <c r="Q4" i="164" s="1"/>
  <c r="P4" i="164"/>
  <c r="R4" i="164" s="1"/>
  <c r="U9" i="164"/>
  <c r="X9" i="164" s="1"/>
  <c r="Y9" i="164" s="1"/>
  <c r="Z9" i="164" s="1"/>
  <c r="P9" i="164"/>
  <c r="R9" i="164" s="1"/>
  <c r="U11" i="164"/>
  <c r="X11" i="164" s="1"/>
  <c r="Y11" i="164" s="1"/>
  <c r="Z11" i="164" s="1"/>
  <c r="P11" i="164"/>
  <c r="R11" i="164" s="1"/>
  <c r="P7" i="164"/>
  <c r="R7" i="164" s="1"/>
  <c r="U7" i="164"/>
  <c r="X7" i="164" s="1"/>
  <c r="Y7" i="164" s="1"/>
  <c r="Z7" i="164" s="1"/>
  <c r="E27" i="164"/>
  <c r="F27" i="164" s="1"/>
  <c r="F24" i="164"/>
  <c r="F22" i="164"/>
  <c r="F20" i="164"/>
  <c r="F18" i="164"/>
  <c r="F16" i="164"/>
  <c r="F14" i="164"/>
  <c r="F11" i="164"/>
  <c r="U12" i="164"/>
  <c r="X12" i="164" s="1"/>
  <c r="Y12" i="164" s="1"/>
  <c r="Z12" i="164" s="1"/>
  <c r="Q12" i="164" s="1"/>
  <c r="P12" i="164"/>
  <c r="R12" i="164" s="1"/>
  <c r="Q9" i="164"/>
  <c r="Q11" i="164"/>
  <c r="Q7" i="164"/>
  <c r="Q8" i="164"/>
  <c r="P5" i="164"/>
  <c r="R5" i="164" s="1"/>
  <c r="P6" i="164"/>
  <c r="R6" i="164" s="1"/>
  <c r="P8" i="164"/>
  <c r="R8" i="164" s="1"/>
  <c r="P10" i="164"/>
  <c r="R10" i="164" s="1"/>
  <c r="F12" i="164"/>
  <c r="F23" i="164" l="1"/>
  <c r="F25" i="164"/>
  <c r="F21" i="164"/>
  <c r="F19" i="164"/>
  <c r="F26" i="164" s="1"/>
  <c r="G12" i="164"/>
  <c r="G13" i="164" s="1"/>
  <c r="G14" i="164" s="1"/>
  <c r="G15" i="164" s="1"/>
  <c r="G16" i="164" s="1"/>
  <c r="G17" i="164" s="1"/>
  <c r="G18" i="164" s="1"/>
  <c r="G19" i="164" s="1"/>
  <c r="G20" i="164" s="1"/>
  <c r="G21" i="164" s="1"/>
  <c r="G22" i="164" s="1"/>
  <c r="G23" i="164" s="1"/>
  <c r="G24" i="164" s="1"/>
  <c r="S12" i="164" l="1"/>
  <c r="S11" i="164"/>
  <c r="S9" i="164"/>
  <c r="S7" i="164"/>
  <c r="S4" i="164"/>
  <c r="S8" i="164"/>
  <c r="S6" i="164"/>
  <c r="F31" i="164"/>
  <c r="G25" i="164"/>
  <c r="S10" i="164"/>
  <c r="S5" i="164"/>
  <c r="F36" i="163" l="1"/>
  <c r="G33" i="163"/>
  <c r="C27" i="163"/>
  <c r="E25" i="163"/>
  <c r="E24" i="163"/>
  <c r="E23" i="163"/>
  <c r="E22" i="163"/>
  <c r="E21" i="163"/>
  <c r="E20" i="163"/>
  <c r="E19" i="163"/>
  <c r="E18" i="163"/>
  <c r="E17" i="163"/>
  <c r="E16" i="163"/>
  <c r="E15" i="163"/>
  <c r="E14" i="163"/>
  <c r="E13" i="163"/>
  <c r="W12" i="163"/>
  <c r="V12" i="163"/>
  <c r="M12" i="163"/>
  <c r="N12" i="163" s="1"/>
  <c r="I12" i="163"/>
  <c r="E12" i="163"/>
  <c r="W11" i="163"/>
  <c r="V11" i="163"/>
  <c r="M11" i="163"/>
  <c r="N11" i="163" s="1"/>
  <c r="I11" i="163"/>
  <c r="E11" i="163"/>
  <c r="W10" i="163"/>
  <c r="V10" i="163"/>
  <c r="N10" i="163"/>
  <c r="U10" i="163" s="1"/>
  <c r="X10" i="163" s="1"/>
  <c r="M10" i="163"/>
  <c r="I10" i="163"/>
  <c r="W9" i="163"/>
  <c r="V9" i="163"/>
  <c r="M9" i="163"/>
  <c r="N9" i="163" s="1"/>
  <c r="I9" i="163"/>
  <c r="W8" i="163"/>
  <c r="V8" i="163"/>
  <c r="M8" i="163"/>
  <c r="N8" i="163" s="1"/>
  <c r="U8" i="163" s="1"/>
  <c r="X8" i="163" s="1"/>
  <c r="Y8" i="163" s="1"/>
  <c r="Z8" i="163" s="1"/>
  <c r="Q8" i="163" s="1"/>
  <c r="I8" i="163"/>
  <c r="W7" i="163"/>
  <c r="V7" i="163"/>
  <c r="M7" i="163"/>
  <c r="N7" i="163" s="1"/>
  <c r="I7" i="163"/>
  <c r="W6" i="163"/>
  <c r="V6" i="163"/>
  <c r="M6" i="163"/>
  <c r="N6" i="163" s="1"/>
  <c r="U6" i="163" s="1"/>
  <c r="X6" i="163" s="1"/>
  <c r="Y6" i="163" s="1"/>
  <c r="Z6" i="163" s="1"/>
  <c r="Q6" i="163" s="1"/>
  <c r="I6" i="163"/>
  <c r="AE5" i="163"/>
  <c r="W5" i="163"/>
  <c r="V5" i="163"/>
  <c r="M5" i="163"/>
  <c r="N5" i="163" s="1"/>
  <c r="U5" i="163" s="1"/>
  <c r="X5" i="163" s="1"/>
  <c r="Y5" i="163" s="1"/>
  <c r="Z5" i="163" s="1"/>
  <c r="I5" i="163"/>
  <c r="W4" i="163"/>
  <c r="V4" i="163"/>
  <c r="M4" i="163"/>
  <c r="N4" i="163" s="1"/>
  <c r="I4" i="163"/>
  <c r="Q5" i="163" l="1"/>
  <c r="F17" i="163"/>
  <c r="F21" i="163"/>
  <c r="F23" i="163"/>
  <c r="F25" i="163"/>
  <c r="Y10" i="163"/>
  <c r="Z10" i="163" s="1"/>
  <c r="Q10" i="163" s="1"/>
  <c r="E26" i="163"/>
  <c r="F15" i="163" s="1"/>
  <c r="P4" i="163"/>
  <c r="R4" i="163" s="1"/>
  <c r="U4" i="163"/>
  <c r="X4" i="163" s="1"/>
  <c r="Y4" i="163" s="1"/>
  <c r="Z4" i="163" s="1"/>
  <c r="Q4" i="163" s="1"/>
  <c r="U9" i="163"/>
  <c r="X9" i="163" s="1"/>
  <c r="Y9" i="163" s="1"/>
  <c r="Z9" i="163" s="1"/>
  <c r="Q9" i="163" s="1"/>
  <c r="P9" i="163"/>
  <c r="R9" i="163" s="1"/>
  <c r="U11" i="163"/>
  <c r="X11" i="163" s="1"/>
  <c r="Y11" i="163" s="1"/>
  <c r="Z11" i="163" s="1"/>
  <c r="Q11" i="163" s="1"/>
  <c r="P11" i="163"/>
  <c r="R11" i="163" s="1"/>
  <c r="U7" i="163"/>
  <c r="X7" i="163" s="1"/>
  <c r="Y7" i="163" s="1"/>
  <c r="Z7" i="163" s="1"/>
  <c r="Q7" i="163" s="1"/>
  <c r="P7" i="163"/>
  <c r="R7" i="163" s="1"/>
  <c r="E27" i="163"/>
  <c r="F27" i="163" s="1"/>
  <c r="F24" i="163"/>
  <c r="F22" i="163"/>
  <c r="F20" i="163"/>
  <c r="F18" i="163"/>
  <c r="F16" i="163"/>
  <c r="F14" i="163"/>
  <c r="F11" i="163"/>
  <c r="U12" i="163"/>
  <c r="X12" i="163" s="1"/>
  <c r="Y12" i="163" s="1"/>
  <c r="Z12" i="163" s="1"/>
  <c r="P12" i="163"/>
  <c r="R12" i="163" s="1"/>
  <c r="Q12" i="163"/>
  <c r="P5" i="163"/>
  <c r="R5" i="163" s="1"/>
  <c r="P6" i="163"/>
  <c r="R6" i="163" s="1"/>
  <c r="P8" i="163"/>
  <c r="R8" i="163" s="1"/>
  <c r="P10" i="163"/>
  <c r="R10" i="163" s="1"/>
  <c r="F12" i="163"/>
  <c r="F19" i="163" l="1"/>
  <c r="F13" i="163"/>
  <c r="F26" i="163" s="1"/>
  <c r="G12" i="163"/>
  <c r="G13" i="163" s="1"/>
  <c r="G14" i="163" s="1"/>
  <c r="G15" i="163" s="1"/>
  <c r="G16" i="163" s="1"/>
  <c r="G17" i="163" s="1"/>
  <c r="G18" i="163" s="1"/>
  <c r="G19" i="163" s="1"/>
  <c r="G20" i="163" s="1"/>
  <c r="G21" i="163" s="1"/>
  <c r="G22" i="163" s="1"/>
  <c r="G23" i="163" s="1"/>
  <c r="G24" i="163" s="1"/>
  <c r="S12" i="163" l="1"/>
  <c r="S11" i="163"/>
  <c r="S9" i="163"/>
  <c r="S7" i="163"/>
  <c r="S4" i="163"/>
  <c r="S5" i="163"/>
  <c r="F31" i="163"/>
  <c r="G25" i="163"/>
  <c r="S10" i="163"/>
  <c r="S8" i="163"/>
  <c r="S6" i="163"/>
  <c r="F36" i="162" l="1"/>
  <c r="G33" i="162"/>
  <c r="C27" i="162"/>
  <c r="E25" i="162"/>
  <c r="E24" i="162"/>
  <c r="E23" i="162"/>
  <c r="E22" i="162"/>
  <c r="E21" i="162"/>
  <c r="E20" i="162"/>
  <c r="E19" i="162"/>
  <c r="E18" i="162"/>
  <c r="E17" i="162"/>
  <c r="E16" i="162"/>
  <c r="E15" i="162"/>
  <c r="E14" i="162"/>
  <c r="E13" i="162"/>
  <c r="W12" i="162"/>
  <c r="V12" i="162"/>
  <c r="M12" i="162"/>
  <c r="N12" i="162" s="1"/>
  <c r="I12" i="162"/>
  <c r="E12" i="162"/>
  <c r="W11" i="162"/>
  <c r="V11" i="162"/>
  <c r="M11" i="162"/>
  <c r="N11" i="162" s="1"/>
  <c r="I11" i="162"/>
  <c r="E11" i="162"/>
  <c r="W10" i="162"/>
  <c r="V10" i="162"/>
  <c r="M10" i="162"/>
  <c r="N10" i="162" s="1"/>
  <c r="I10" i="162"/>
  <c r="W9" i="162"/>
  <c r="V9" i="162"/>
  <c r="M9" i="162"/>
  <c r="N9" i="162" s="1"/>
  <c r="I9" i="162"/>
  <c r="W8" i="162"/>
  <c r="V8" i="162"/>
  <c r="M8" i="162"/>
  <c r="N8" i="162" s="1"/>
  <c r="I8" i="162"/>
  <c r="W7" i="162"/>
  <c r="V7" i="162"/>
  <c r="M7" i="162"/>
  <c r="N7" i="162" s="1"/>
  <c r="U7" i="162" s="1"/>
  <c r="X7" i="162" s="1"/>
  <c r="Y7" i="162" s="1"/>
  <c r="Z7" i="162" s="1"/>
  <c r="Q7" i="162" s="1"/>
  <c r="I7" i="162"/>
  <c r="W6" i="162"/>
  <c r="V6" i="162"/>
  <c r="M6" i="162"/>
  <c r="N6" i="162" s="1"/>
  <c r="I6" i="162"/>
  <c r="AE5" i="162"/>
  <c r="W5" i="162"/>
  <c r="V5" i="162"/>
  <c r="M5" i="162"/>
  <c r="N5" i="162" s="1"/>
  <c r="I5" i="162"/>
  <c r="W4" i="162"/>
  <c r="V4" i="162"/>
  <c r="M4" i="162"/>
  <c r="N4" i="162" s="1"/>
  <c r="U4" i="162" s="1"/>
  <c r="X4" i="162" s="1"/>
  <c r="Y4" i="162" s="1"/>
  <c r="Z4" i="162" s="1"/>
  <c r="Q4" i="162" s="1"/>
  <c r="I4" i="162"/>
  <c r="F17" i="162" l="1"/>
  <c r="F21" i="162"/>
  <c r="F11" i="162"/>
  <c r="F19" i="162"/>
  <c r="F23" i="162"/>
  <c r="F25" i="162"/>
  <c r="E26" i="162"/>
  <c r="F13" i="162" s="1"/>
  <c r="U6" i="162"/>
  <c r="X6" i="162" s="1"/>
  <c r="Y6" i="162" s="1"/>
  <c r="Z6" i="162" s="1"/>
  <c r="Q6" i="162" s="1"/>
  <c r="P6" i="162"/>
  <c r="R6" i="162" s="1"/>
  <c r="U11" i="162"/>
  <c r="X11" i="162" s="1"/>
  <c r="Y11" i="162" s="1"/>
  <c r="Z11" i="162" s="1"/>
  <c r="Q11" i="162" s="1"/>
  <c r="P11" i="162"/>
  <c r="R11" i="162" s="1"/>
  <c r="U5" i="162"/>
  <c r="X5" i="162" s="1"/>
  <c r="Y5" i="162" s="1"/>
  <c r="Z5" i="162" s="1"/>
  <c r="P5" i="162"/>
  <c r="R5" i="162" s="1"/>
  <c r="U8" i="162"/>
  <c r="X8" i="162" s="1"/>
  <c r="Y8" i="162" s="1"/>
  <c r="Z8" i="162" s="1"/>
  <c r="Q8" i="162" s="1"/>
  <c r="P8" i="162"/>
  <c r="R8" i="162" s="1"/>
  <c r="U9" i="162"/>
  <c r="X9" i="162" s="1"/>
  <c r="Y9" i="162" s="1"/>
  <c r="Z9" i="162" s="1"/>
  <c r="Q9" i="162" s="1"/>
  <c r="P9" i="162"/>
  <c r="R9" i="162" s="1"/>
  <c r="U10" i="162"/>
  <c r="X10" i="162" s="1"/>
  <c r="Y10" i="162" s="1"/>
  <c r="Z10" i="162" s="1"/>
  <c r="Q10" i="162" s="1"/>
  <c r="P10" i="162"/>
  <c r="R10" i="162" s="1"/>
  <c r="E27" i="162"/>
  <c r="F27" i="162" s="1"/>
  <c r="F18" i="162"/>
  <c r="F16" i="162"/>
  <c r="F14" i="162"/>
  <c r="U12" i="162"/>
  <c r="X12" i="162" s="1"/>
  <c r="Y12" i="162" s="1"/>
  <c r="Z12" i="162" s="1"/>
  <c r="Q12" i="162" s="1"/>
  <c r="P12" i="162"/>
  <c r="R12" i="162" s="1"/>
  <c r="Q5" i="162"/>
  <c r="F20" i="162"/>
  <c r="F22" i="162"/>
  <c r="F24" i="162"/>
  <c r="P4" i="162"/>
  <c r="R4" i="162" s="1"/>
  <c r="P7" i="162"/>
  <c r="R7" i="162" s="1"/>
  <c r="F12" i="162"/>
  <c r="F15" i="162" l="1"/>
  <c r="F26" i="162"/>
  <c r="G12" i="162"/>
  <c r="G13" i="162" s="1"/>
  <c r="G14" i="162" s="1"/>
  <c r="G15" i="162" s="1"/>
  <c r="G16" i="162" s="1"/>
  <c r="G17" i="162" s="1"/>
  <c r="G18" i="162" s="1"/>
  <c r="G19" i="162" s="1"/>
  <c r="G20" i="162" s="1"/>
  <c r="G21" i="162" s="1"/>
  <c r="G22" i="162" s="1"/>
  <c r="G23" i="162" s="1"/>
  <c r="G24" i="162" s="1"/>
  <c r="S12" i="162" l="1"/>
  <c r="S11" i="162"/>
  <c r="S9" i="162"/>
  <c r="S7" i="162"/>
  <c r="G25" i="162"/>
  <c r="S10" i="162"/>
  <c r="S8" i="162"/>
  <c r="S6" i="162"/>
  <c r="S5" i="162"/>
  <c r="S4" i="162"/>
  <c r="F31" i="162"/>
  <c r="F36" i="161" l="1"/>
  <c r="G33" i="161"/>
  <c r="C27" i="161"/>
  <c r="E25" i="161"/>
  <c r="E24" i="161"/>
  <c r="E23" i="161"/>
  <c r="E22" i="161"/>
  <c r="E21" i="161"/>
  <c r="E20" i="161"/>
  <c r="E19" i="161"/>
  <c r="E18" i="161"/>
  <c r="E17" i="161"/>
  <c r="E16" i="161"/>
  <c r="E15" i="161"/>
  <c r="E14" i="161"/>
  <c r="E13" i="161"/>
  <c r="W12" i="161"/>
  <c r="V12" i="161"/>
  <c r="M12" i="161"/>
  <c r="N12" i="161" s="1"/>
  <c r="U12" i="161" s="1"/>
  <c r="X12" i="161" s="1"/>
  <c r="Y12" i="161" s="1"/>
  <c r="Z12" i="161" s="1"/>
  <c r="Q12" i="161" s="1"/>
  <c r="I12" i="161"/>
  <c r="E12" i="161"/>
  <c r="W11" i="161"/>
  <c r="V11" i="161"/>
  <c r="M11" i="161"/>
  <c r="N11" i="161" s="1"/>
  <c r="U11" i="161" s="1"/>
  <c r="X11" i="161" s="1"/>
  <c r="Y11" i="161" s="1"/>
  <c r="Z11" i="161" s="1"/>
  <c r="Q11" i="161" s="1"/>
  <c r="I11" i="161"/>
  <c r="E11" i="161"/>
  <c r="W10" i="161"/>
  <c r="V10" i="161"/>
  <c r="M10" i="161"/>
  <c r="N10" i="161" s="1"/>
  <c r="I10" i="161"/>
  <c r="W9" i="161"/>
  <c r="V9" i="161"/>
  <c r="M9" i="161"/>
  <c r="N9" i="161" s="1"/>
  <c r="U9" i="161" s="1"/>
  <c r="X9" i="161" s="1"/>
  <c r="Y9" i="161" s="1"/>
  <c r="Z9" i="161" s="1"/>
  <c r="Q9" i="161" s="1"/>
  <c r="I9" i="161"/>
  <c r="W8" i="161"/>
  <c r="V8" i="161"/>
  <c r="M8" i="161"/>
  <c r="N8" i="161" s="1"/>
  <c r="I8" i="161"/>
  <c r="W7" i="161"/>
  <c r="V7" i="161"/>
  <c r="N7" i="161"/>
  <c r="U7" i="161" s="1"/>
  <c r="X7" i="161" s="1"/>
  <c r="Y7" i="161" s="1"/>
  <c r="Z7" i="161" s="1"/>
  <c r="Q7" i="161" s="1"/>
  <c r="M7" i="161"/>
  <c r="I7" i="161"/>
  <c r="W6" i="161"/>
  <c r="V6" i="161"/>
  <c r="M6" i="161"/>
  <c r="N6" i="161" s="1"/>
  <c r="I6" i="161"/>
  <c r="AE5" i="161"/>
  <c r="W5" i="161"/>
  <c r="V5" i="161"/>
  <c r="M5" i="161"/>
  <c r="N5" i="161" s="1"/>
  <c r="I5" i="161"/>
  <c r="W4" i="161"/>
  <c r="V4" i="161"/>
  <c r="M4" i="161"/>
  <c r="N4" i="161" s="1"/>
  <c r="U4" i="161" s="1"/>
  <c r="X4" i="161" s="1"/>
  <c r="Y4" i="161" s="1"/>
  <c r="Z4" i="161" s="1"/>
  <c r="I4" i="161"/>
  <c r="F11" i="161" l="1"/>
  <c r="E26" i="161"/>
  <c r="U5" i="161"/>
  <c r="X5" i="161" s="1"/>
  <c r="Y5" i="161" s="1"/>
  <c r="Z5" i="161" s="1"/>
  <c r="P5" i="161"/>
  <c r="R5" i="161" s="1"/>
  <c r="U8" i="161"/>
  <c r="X8" i="161" s="1"/>
  <c r="Y8" i="161" s="1"/>
  <c r="Z8" i="161" s="1"/>
  <c r="P8" i="161"/>
  <c r="R8" i="161" s="1"/>
  <c r="F25" i="161"/>
  <c r="F23" i="161"/>
  <c r="F21" i="161"/>
  <c r="F19" i="161"/>
  <c r="F17" i="161"/>
  <c r="F15" i="161"/>
  <c r="F13" i="161"/>
  <c r="F12" i="161"/>
  <c r="E27" i="161"/>
  <c r="F27" i="161" s="1"/>
  <c r="U6" i="161"/>
  <c r="X6" i="161" s="1"/>
  <c r="Y6" i="161" s="1"/>
  <c r="Z6" i="161" s="1"/>
  <c r="Q6" i="161" s="1"/>
  <c r="P6" i="161"/>
  <c r="R6" i="161" s="1"/>
  <c r="U10" i="161"/>
  <c r="X10" i="161" s="1"/>
  <c r="Y10" i="161" s="1"/>
  <c r="Z10" i="161" s="1"/>
  <c r="P10" i="161"/>
  <c r="R10" i="161" s="1"/>
  <c r="Q5" i="161"/>
  <c r="Q8" i="161"/>
  <c r="Q4" i="161"/>
  <c r="Q10" i="161"/>
  <c r="F14" i="161"/>
  <c r="F16" i="161"/>
  <c r="F18" i="161"/>
  <c r="F20" i="161"/>
  <c r="F22" i="161"/>
  <c r="F24" i="161"/>
  <c r="P4" i="161"/>
  <c r="R4" i="161" s="1"/>
  <c r="P7" i="161"/>
  <c r="R7" i="161" s="1"/>
  <c r="P9" i="161"/>
  <c r="R9" i="161" s="1"/>
  <c r="P11" i="161"/>
  <c r="R11" i="161" s="1"/>
  <c r="P12" i="161"/>
  <c r="R12" i="161" s="1"/>
  <c r="F26" i="161" l="1"/>
  <c r="G12" i="161"/>
  <c r="G13" i="161" s="1"/>
  <c r="G14" i="161" s="1"/>
  <c r="G15" i="161" s="1"/>
  <c r="G16" i="161" s="1"/>
  <c r="G17" i="161" s="1"/>
  <c r="G18" i="161" s="1"/>
  <c r="G19" i="161" s="1"/>
  <c r="G20" i="161" s="1"/>
  <c r="G21" i="161" s="1"/>
  <c r="G22" i="161" s="1"/>
  <c r="G23" i="161" s="1"/>
  <c r="G24" i="161" s="1"/>
  <c r="S12" i="161" l="1"/>
  <c r="S11" i="161"/>
  <c r="S9" i="161"/>
  <c r="S7" i="161"/>
  <c r="G25" i="161"/>
  <c r="S10" i="161"/>
  <c r="S8" i="161"/>
  <c r="S6" i="161"/>
  <c r="S5" i="161"/>
  <c r="S4" i="161"/>
  <c r="F31" i="161"/>
  <c r="F36" i="160" l="1"/>
  <c r="G33" i="160"/>
  <c r="C27" i="160"/>
  <c r="E25" i="160"/>
  <c r="E24" i="160"/>
  <c r="E23" i="160"/>
  <c r="E22" i="160"/>
  <c r="E21" i="160"/>
  <c r="E20" i="160"/>
  <c r="E19" i="160"/>
  <c r="E18" i="160"/>
  <c r="E17" i="160"/>
  <c r="E16" i="160"/>
  <c r="E15" i="160"/>
  <c r="E14" i="160"/>
  <c r="E13" i="160"/>
  <c r="W12" i="160"/>
  <c r="V12" i="160"/>
  <c r="M12" i="160"/>
  <c r="N12" i="160" s="1"/>
  <c r="U12" i="160" s="1"/>
  <c r="X12" i="160" s="1"/>
  <c r="Y12" i="160" s="1"/>
  <c r="Z12" i="160" s="1"/>
  <c r="Q12" i="160" s="1"/>
  <c r="I12" i="160"/>
  <c r="E12" i="160"/>
  <c r="W11" i="160"/>
  <c r="V11" i="160"/>
  <c r="N11" i="160"/>
  <c r="U11" i="160" s="1"/>
  <c r="X11" i="160" s="1"/>
  <c r="M11" i="160"/>
  <c r="I11" i="160"/>
  <c r="E11" i="160"/>
  <c r="W10" i="160"/>
  <c r="V10" i="160"/>
  <c r="M10" i="160"/>
  <c r="N10" i="160" s="1"/>
  <c r="I10" i="160"/>
  <c r="W9" i="160"/>
  <c r="V9" i="160"/>
  <c r="M9" i="160"/>
  <c r="N9" i="160" s="1"/>
  <c r="U9" i="160" s="1"/>
  <c r="X9" i="160" s="1"/>
  <c r="Y9" i="160" s="1"/>
  <c r="Z9" i="160" s="1"/>
  <c r="Q9" i="160" s="1"/>
  <c r="I9" i="160"/>
  <c r="W8" i="160"/>
  <c r="V8" i="160"/>
  <c r="M8" i="160"/>
  <c r="N8" i="160" s="1"/>
  <c r="I8" i="160"/>
  <c r="W7" i="160"/>
  <c r="V7" i="160"/>
  <c r="N7" i="160"/>
  <c r="U7" i="160" s="1"/>
  <c r="X7" i="160" s="1"/>
  <c r="Y7" i="160" s="1"/>
  <c r="Z7" i="160" s="1"/>
  <c r="Q7" i="160" s="1"/>
  <c r="M7" i="160"/>
  <c r="I7" i="160"/>
  <c r="W6" i="160"/>
  <c r="V6" i="160"/>
  <c r="M6" i="160"/>
  <c r="N6" i="160" s="1"/>
  <c r="I6" i="160"/>
  <c r="AE5" i="160"/>
  <c r="W5" i="160"/>
  <c r="V5" i="160"/>
  <c r="M5" i="160"/>
  <c r="N5" i="160" s="1"/>
  <c r="I5" i="160"/>
  <c r="W4" i="160"/>
  <c r="V4" i="160"/>
  <c r="M4" i="160"/>
  <c r="N4" i="160" s="1"/>
  <c r="U4" i="160" s="1"/>
  <c r="X4" i="160" s="1"/>
  <c r="Y4" i="160" s="1"/>
  <c r="Z4" i="160" s="1"/>
  <c r="I4" i="160"/>
  <c r="F11" i="160" l="1"/>
  <c r="E26" i="160"/>
  <c r="Y11" i="160"/>
  <c r="Z11" i="160" s="1"/>
  <c r="Q11" i="160" s="1"/>
  <c r="U5" i="160"/>
  <c r="X5" i="160" s="1"/>
  <c r="Y5" i="160" s="1"/>
  <c r="Z5" i="160" s="1"/>
  <c r="Q5" i="160" s="1"/>
  <c r="P5" i="160"/>
  <c r="R5" i="160" s="1"/>
  <c r="U8" i="160"/>
  <c r="X8" i="160" s="1"/>
  <c r="Y8" i="160" s="1"/>
  <c r="Z8" i="160" s="1"/>
  <c r="P8" i="160"/>
  <c r="R8" i="160" s="1"/>
  <c r="U6" i="160"/>
  <c r="X6" i="160" s="1"/>
  <c r="Y6" i="160" s="1"/>
  <c r="Z6" i="160" s="1"/>
  <c r="P6" i="160"/>
  <c r="R6" i="160" s="1"/>
  <c r="U10" i="160"/>
  <c r="X10" i="160" s="1"/>
  <c r="Y10" i="160" s="1"/>
  <c r="Z10" i="160" s="1"/>
  <c r="P10" i="160"/>
  <c r="R10" i="160" s="1"/>
  <c r="F25" i="160"/>
  <c r="F23" i="160"/>
  <c r="F21" i="160"/>
  <c r="F19" i="160"/>
  <c r="F17" i="160"/>
  <c r="F15" i="160"/>
  <c r="F13" i="160"/>
  <c r="F12" i="160"/>
  <c r="E27" i="160"/>
  <c r="F27" i="160" s="1"/>
  <c r="Q8" i="160"/>
  <c r="Q4" i="160"/>
  <c r="Q6" i="160"/>
  <c r="Q10" i="160"/>
  <c r="F16" i="160"/>
  <c r="F18" i="160"/>
  <c r="F20" i="160"/>
  <c r="F22" i="160"/>
  <c r="F24" i="160"/>
  <c r="P4" i="160"/>
  <c r="R4" i="160" s="1"/>
  <c r="P7" i="160"/>
  <c r="R7" i="160" s="1"/>
  <c r="P9" i="160"/>
  <c r="R9" i="160" s="1"/>
  <c r="P11" i="160"/>
  <c r="R11" i="160" s="1"/>
  <c r="P12" i="160"/>
  <c r="R12" i="160" s="1"/>
  <c r="F14" i="160"/>
  <c r="F26" i="160" l="1"/>
  <c r="G12" i="160"/>
  <c r="G13" i="160" s="1"/>
  <c r="G14" i="160" s="1"/>
  <c r="G15" i="160" s="1"/>
  <c r="G16" i="160" s="1"/>
  <c r="G17" i="160" s="1"/>
  <c r="G18" i="160" s="1"/>
  <c r="G19" i="160" s="1"/>
  <c r="G20" i="160" s="1"/>
  <c r="G21" i="160" s="1"/>
  <c r="G22" i="160" s="1"/>
  <c r="G23" i="160" s="1"/>
  <c r="G24" i="160" s="1"/>
  <c r="S12" i="160" l="1"/>
  <c r="S11" i="160"/>
  <c r="S9" i="160"/>
  <c r="G25" i="160"/>
  <c r="S10" i="160"/>
  <c r="S8" i="160"/>
  <c r="S6" i="160"/>
  <c r="S5" i="160"/>
  <c r="S7" i="160"/>
  <c r="S4" i="160"/>
  <c r="F31" i="160"/>
  <c r="F36" i="159" l="1"/>
  <c r="G33" i="159"/>
  <c r="C27" i="159"/>
  <c r="E25" i="159"/>
  <c r="E24" i="159"/>
  <c r="E23" i="159"/>
  <c r="E22" i="159"/>
  <c r="E21" i="159"/>
  <c r="E20" i="159"/>
  <c r="E19" i="159"/>
  <c r="E18" i="159"/>
  <c r="E17" i="159"/>
  <c r="E16" i="159"/>
  <c r="E15" i="159"/>
  <c r="E14" i="159"/>
  <c r="E13" i="159"/>
  <c r="W12" i="159"/>
  <c r="V12" i="159"/>
  <c r="M12" i="159"/>
  <c r="N12" i="159" s="1"/>
  <c r="I12" i="159"/>
  <c r="E12" i="159"/>
  <c r="W11" i="159"/>
  <c r="V11" i="159"/>
  <c r="M11" i="159"/>
  <c r="N11" i="159" s="1"/>
  <c r="I11" i="159"/>
  <c r="E11" i="159"/>
  <c r="W10" i="159"/>
  <c r="V10" i="159"/>
  <c r="N10" i="159"/>
  <c r="U10" i="159" s="1"/>
  <c r="X10" i="159" s="1"/>
  <c r="M10" i="159"/>
  <c r="I10" i="159"/>
  <c r="W9" i="159"/>
  <c r="V9" i="159"/>
  <c r="M9" i="159"/>
  <c r="N9" i="159" s="1"/>
  <c r="I9" i="159"/>
  <c r="W8" i="159"/>
  <c r="V8" i="159"/>
  <c r="N8" i="159"/>
  <c r="U8" i="159" s="1"/>
  <c r="X8" i="159" s="1"/>
  <c r="M8" i="159"/>
  <c r="I8" i="159"/>
  <c r="W7" i="159"/>
  <c r="V7" i="159"/>
  <c r="M7" i="159"/>
  <c r="N7" i="159" s="1"/>
  <c r="I7" i="159"/>
  <c r="W6" i="159"/>
  <c r="V6" i="159"/>
  <c r="M6" i="159"/>
  <c r="N6" i="159" s="1"/>
  <c r="U6" i="159" s="1"/>
  <c r="X6" i="159" s="1"/>
  <c r="Y6" i="159" s="1"/>
  <c r="Z6" i="159" s="1"/>
  <c r="Q6" i="159" s="1"/>
  <c r="I6" i="159"/>
  <c r="AE5" i="159"/>
  <c r="W5" i="159"/>
  <c r="V5" i="159"/>
  <c r="Q5" i="159" s="1"/>
  <c r="N5" i="159"/>
  <c r="U5" i="159" s="1"/>
  <c r="X5" i="159" s="1"/>
  <c r="Y5" i="159" s="1"/>
  <c r="Z5" i="159" s="1"/>
  <c r="M5" i="159"/>
  <c r="I5" i="159"/>
  <c r="W4" i="159"/>
  <c r="V4" i="159"/>
  <c r="M4" i="159"/>
  <c r="N4" i="159" s="1"/>
  <c r="I4" i="159"/>
  <c r="F25" i="159" l="1"/>
  <c r="Y8" i="159"/>
  <c r="Z8" i="159" s="1"/>
  <c r="Q8" i="159" s="1"/>
  <c r="F19" i="159"/>
  <c r="F23" i="159"/>
  <c r="Y10" i="159"/>
  <c r="Z10" i="159" s="1"/>
  <c r="Q10" i="159" s="1"/>
  <c r="E26" i="159"/>
  <c r="F13" i="159" s="1"/>
  <c r="U4" i="159"/>
  <c r="X4" i="159" s="1"/>
  <c r="Y4" i="159" s="1"/>
  <c r="Z4" i="159" s="1"/>
  <c r="P4" i="159"/>
  <c r="R4" i="159" s="1"/>
  <c r="U9" i="159"/>
  <c r="X9" i="159" s="1"/>
  <c r="Y9" i="159" s="1"/>
  <c r="Z9" i="159" s="1"/>
  <c r="Q9" i="159" s="1"/>
  <c r="P9" i="159"/>
  <c r="R9" i="159" s="1"/>
  <c r="U11" i="159"/>
  <c r="X11" i="159" s="1"/>
  <c r="Y11" i="159" s="1"/>
  <c r="Z11" i="159" s="1"/>
  <c r="P11" i="159"/>
  <c r="R11" i="159" s="1"/>
  <c r="U7" i="159"/>
  <c r="X7" i="159" s="1"/>
  <c r="Y7" i="159" s="1"/>
  <c r="Z7" i="159" s="1"/>
  <c r="P7" i="159"/>
  <c r="R7" i="159" s="1"/>
  <c r="E27" i="159"/>
  <c r="F27" i="159" s="1"/>
  <c r="F24" i="159"/>
  <c r="F22" i="159"/>
  <c r="F20" i="159"/>
  <c r="F18" i="159"/>
  <c r="F16" i="159"/>
  <c r="F14" i="159"/>
  <c r="F11" i="159"/>
  <c r="U12" i="159"/>
  <c r="X12" i="159" s="1"/>
  <c r="Y12" i="159" s="1"/>
  <c r="Z12" i="159" s="1"/>
  <c r="P12" i="159"/>
  <c r="R12" i="159" s="1"/>
  <c r="Q4" i="159"/>
  <c r="Q11" i="159"/>
  <c r="Q7" i="159"/>
  <c r="Q12" i="159"/>
  <c r="P5" i="159"/>
  <c r="R5" i="159" s="1"/>
  <c r="P6" i="159"/>
  <c r="R6" i="159" s="1"/>
  <c r="P8" i="159"/>
  <c r="R8" i="159" s="1"/>
  <c r="P10" i="159"/>
  <c r="R10" i="159" s="1"/>
  <c r="F12" i="159"/>
  <c r="F21" i="159" l="1"/>
  <c r="F26" i="159" s="1"/>
  <c r="F15" i="159"/>
  <c r="F17" i="159"/>
  <c r="G12" i="159"/>
  <c r="G13" i="159" s="1"/>
  <c r="G14" i="159" s="1"/>
  <c r="G15" i="159" s="1"/>
  <c r="G16" i="159" s="1"/>
  <c r="G17" i="159" s="1"/>
  <c r="G18" i="159" s="1"/>
  <c r="G19" i="159" s="1"/>
  <c r="G20" i="159" s="1"/>
  <c r="G21" i="159" s="1"/>
  <c r="G22" i="159" s="1"/>
  <c r="G23" i="159" s="1"/>
  <c r="G24" i="159" s="1"/>
  <c r="S12" i="159" l="1"/>
  <c r="S11" i="159"/>
  <c r="S9" i="159"/>
  <c r="S7" i="159"/>
  <c r="S4" i="159"/>
  <c r="F31" i="159"/>
  <c r="G25" i="159"/>
  <c r="S10" i="159"/>
  <c r="S8" i="159"/>
  <c r="S6" i="159"/>
  <c r="S5" i="159"/>
  <c r="F36" i="158" l="1"/>
  <c r="G33" i="158"/>
  <c r="C27" i="158"/>
  <c r="E25" i="158"/>
  <c r="E24" i="158"/>
  <c r="E23" i="158"/>
  <c r="E22" i="158"/>
  <c r="E21" i="158"/>
  <c r="E20" i="158"/>
  <c r="E19" i="158"/>
  <c r="E18" i="158"/>
  <c r="E17" i="158"/>
  <c r="E16" i="158"/>
  <c r="E15" i="158"/>
  <c r="E14" i="158"/>
  <c r="E13" i="158"/>
  <c r="W12" i="158"/>
  <c r="V12" i="158"/>
  <c r="M12" i="158"/>
  <c r="N12" i="158" s="1"/>
  <c r="I12" i="158"/>
  <c r="E12" i="158"/>
  <c r="W11" i="158"/>
  <c r="V11" i="158"/>
  <c r="M11" i="158"/>
  <c r="N11" i="158" s="1"/>
  <c r="I11" i="158"/>
  <c r="E11" i="158"/>
  <c r="W10" i="158"/>
  <c r="V10" i="158"/>
  <c r="M10" i="158"/>
  <c r="N10" i="158" s="1"/>
  <c r="U10" i="158" s="1"/>
  <c r="X10" i="158" s="1"/>
  <c r="Y10" i="158" s="1"/>
  <c r="Z10" i="158" s="1"/>
  <c r="Q10" i="158" s="1"/>
  <c r="I10" i="158"/>
  <c r="W9" i="158"/>
  <c r="V9" i="158"/>
  <c r="M9" i="158"/>
  <c r="N9" i="158" s="1"/>
  <c r="I9" i="158"/>
  <c r="W8" i="158"/>
  <c r="V8" i="158"/>
  <c r="M8" i="158"/>
  <c r="N8" i="158" s="1"/>
  <c r="U8" i="158" s="1"/>
  <c r="X8" i="158" s="1"/>
  <c r="Y8" i="158" s="1"/>
  <c r="Z8" i="158" s="1"/>
  <c r="Q8" i="158" s="1"/>
  <c r="I8" i="158"/>
  <c r="W7" i="158"/>
  <c r="V7" i="158"/>
  <c r="M7" i="158"/>
  <c r="N7" i="158" s="1"/>
  <c r="I7" i="158"/>
  <c r="W6" i="158"/>
  <c r="V6" i="158"/>
  <c r="M6" i="158"/>
  <c r="N6" i="158" s="1"/>
  <c r="U6" i="158" s="1"/>
  <c r="X6" i="158" s="1"/>
  <c r="Y6" i="158" s="1"/>
  <c r="Z6" i="158" s="1"/>
  <c r="Q6" i="158" s="1"/>
  <c r="I6" i="158"/>
  <c r="AE5" i="158"/>
  <c r="W5" i="158"/>
  <c r="V5" i="158"/>
  <c r="M5" i="158"/>
  <c r="N5" i="158" s="1"/>
  <c r="U5" i="158" s="1"/>
  <c r="X5" i="158" s="1"/>
  <c r="Y5" i="158" s="1"/>
  <c r="Z5" i="158" s="1"/>
  <c r="Q5" i="158" s="1"/>
  <c r="I5" i="158"/>
  <c r="W4" i="158"/>
  <c r="V4" i="158"/>
  <c r="M4" i="158"/>
  <c r="N4" i="158" s="1"/>
  <c r="I4" i="158"/>
  <c r="E26" i="158" l="1"/>
  <c r="F21" i="158" s="1"/>
  <c r="U4" i="158"/>
  <c r="X4" i="158" s="1"/>
  <c r="Y4" i="158" s="1"/>
  <c r="Z4" i="158" s="1"/>
  <c r="P4" i="158"/>
  <c r="R4" i="158" s="1"/>
  <c r="U9" i="158"/>
  <c r="X9" i="158" s="1"/>
  <c r="Y9" i="158" s="1"/>
  <c r="Z9" i="158" s="1"/>
  <c r="P9" i="158"/>
  <c r="R9" i="158" s="1"/>
  <c r="U11" i="158"/>
  <c r="X11" i="158" s="1"/>
  <c r="Y11" i="158" s="1"/>
  <c r="Z11" i="158" s="1"/>
  <c r="P11" i="158"/>
  <c r="R11" i="158" s="1"/>
  <c r="U7" i="158"/>
  <c r="X7" i="158" s="1"/>
  <c r="Y7" i="158" s="1"/>
  <c r="Z7" i="158" s="1"/>
  <c r="Q7" i="158" s="1"/>
  <c r="P7" i="158"/>
  <c r="R7" i="158" s="1"/>
  <c r="F20" i="158"/>
  <c r="F11" i="158"/>
  <c r="U12" i="158"/>
  <c r="X12" i="158" s="1"/>
  <c r="Y12" i="158" s="1"/>
  <c r="Z12" i="158" s="1"/>
  <c r="Q12" i="158" s="1"/>
  <c r="P12" i="158"/>
  <c r="R12" i="158" s="1"/>
  <c r="Q4" i="158"/>
  <c r="Q9" i="158"/>
  <c r="Q11" i="158"/>
  <c r="P5" i="158"/>
  <c r="R5" i="158" s="1"/>
  <c r="P6" i="158"/>
  <c r="R6" i="158" s="1"/>
  <c r="P8" i="158"/>
  <c r="R8" i="158" s="1"/>
  <c r="P10" i="158"/>
  <c r="R10" i="158" s="1"/>
  <c r="F12" i="158"/>
  <c r="F14" i="158" l="1"/>
  <c r="F22" i="158"/>
  <c r="F25" i="158"/>
  <c r="F17" i="158"/>
  <c r="F26" i="158" s="1"/>
  <c r="F15" i="158"/>
  <c r="F16" i="158"/>
  <c r="F24" i="158"/>
  <c r="F23" i="158"/>
  <c r="F13" i="158"/>
  <c r="F18" i="158"/>
  <c r="E27" i="158"/>
  <c r="F27" i="158" s="1"/>
  <c r="F19" i="158"/>
  <c r="G12" i="158"/>
  <c r="G13" i="158" l="1"/>
  <c r="G14" i="158" s="1"/>
  <c r="G15" i="158" s="1"/>
  <c r="G16" i="158" s="1"/>
  <c r="G17" i="158" s="1"/>
  <c r="G18" i="158" s="1"/>
  <c r="G19" i="158" s="1"/>
  <c r="G20" i="158" s="1"/>
  <c r="G21" i="158" s="1"/>
  <c r="G22" i="158" s="1"/>
  <c r="G23" i="158" s="1"/>
  <c r="G24" i="158" s="1"/>
  <c r="S12" i="158" s="1"/>
  <c r="S7" i="158" l="1"/>
  <c r="F31" i="158"/>
  <c r="S10" i="158"/>
  <c r="S5" i="158"/>
  <c r="G25" i="158"/>
  <c r="S9" i="158"/>
  <c r="S6" i="158"/>
  <c r="S11" i="158"/>
  <c r="S8" i="158"/>
  <c r="S4" i="158"/>
  <c r="F36" i="157"/>
  <c r="G33" i="157"/>
  <c r="C27" i="157"/>
  <c r="E25" i="157"/>
  <c r="E24" i="157"/>
  <c r="E23" i="157"/>
  <c r="E22" i="157"/>
  <c r="E21" i="157"/>
  <c r="E20" i="157"/>
  <c r="E19" i="157"/>
  <c r="E18" i="157"/>
  <c r="E17" i="157"/>
  <c r="E16" i="157"/>
  <c r="E15" i="157"/>
  <c r="E14" i="157"/>
  <c r="E13" i="157"/>
  <c r="W12" i="157"/>
  <c r="V12" i="157"/>
  <c r="M12" i="157"/>
  <c r="I12" i="157"/>
  <c r="E12" i="157"/>
  <c r="W11" i="157"/>
  <c r="V11" i="157"/>
  <c r="M11" i="157"/>
  <c r="I11" i="157"/>
  <c r="E11" i="157"/>
  <c r="W10" i="157"/>
  <c r="V10" i="157"/>
  <c r="M10" i="157"/>
  <c r="N10" i="157" s="1"/>
  <c r="U10" i="157" s="1"/>
  <c r="X10" i="157" s="1"/>
  <c r="Y10" i="157" s="1"/>
  <c r="Z10" i="157" s="1"/>
  <c r="Q10" i="157" s="1"/>
  <c r="I10" i="157"/>
  <c r="W9" i="157"/>
  <c r="V9" i="157"/>
  <c r="M9" i="157"/>
  <c r="N9" i="157" s="1"/>
  <c r="I9" i="157"/>
  <c r="W8" i="157"/>
  <c r="V8" i="157"/>
  <c r="N8" i="157"/>
  <c r="U8" i="157" s="1"/>
  <c r="X8" i="157" s="1"/>
  <c r="Y8" i="157" s="1"/>
  <c r="Z8" i="157" s="1"/>
  <c r="Q8" i="157" s="1"/>
  <c r="M8" i="157"/>
  <c r="I8" i="157"/>
  <c r="W7" i="157"/>
  <c r="V7" i="157"/>
  <c r="M7" i="157"/>
  <c r="I7" i="157"/>
  <c r="W6" i="157"/>
  <c r="V6" i="157"/>
  <c r="M6" i="157"/>
  <c r="N6" i="157" s="1"/>
  <c r="U6" i="157" s="1"/>
  <c r="X6" i="157" s="1"/>
  <c r="Y6" i="157" s="1"/>
  <c r="Z6" i="157" s="1"/>
  <c r="I6" i="157"/>
  <c r="AE5" i="157"/>
  <c r="W5" i="157"/>
  <c r="V5" i="157"/>
  <c r="M5" i="157"/>
  <c r="N5" i="157" s="1"/>
  <c r="U5" i="157" s="1"/>
  <c r="X5" i="157" s="1"/>
  <c r="Y5" i="157" s="1"/>
  <c r="Z5" i="157" s="1"/>
  <c r="I5" i="157"/>
  <c r="W4" i="157"/>
  <c r="V4" i="157"/>
  <c r="M4" i="157"/>
  <c r="N4" i="157" s="1"/>
  <c r="I4" i="157"/>
  <c r="E26" i="157" l="1"/>
  <c r="F20" i="157" s="1"/>
  <c r="N11" i="157"/>
  <c r="N7" i="157"/>
  <c r="P7" i="157" s="1"/>
  <c r="R7" i="157" s="1"/>
  <c r="N12" i="157"/>
  <c r="U12" i="157" s="1"/>
  <c r="X12" i="157" s="1"/>
  <c r="Y12" i="157" s="1"/>
  <c r="Z12" i="157" s="1"/>
  <c r="Q12" i="157" s="1"/>
  <c r="U7" i="157"/>
  <c r="X7" i="157" s="1"/>
  <c r="Y7" i="157" s="1"/>
  <c r="Z7" i="157" s="1"/>
  <c r="F24" i="157"/>
  <c r="F22" i="157"/>
  <c r="F18" i="157"/>
  <c r="F16" i="157"/>
  <c r="F14" i="157"/>
  <c r="F11" i="157"/>
  <c r="P12" i="157"/>
  <c r="R12" i="157" s="1"/>
  <c r="P4" i="157"/>
  <c r="R4" i="157" s="1"/>
  <c r="U4" i="157"/>
  <c r="X4" i="157" s="1"/>
  <c r="Y4" i="157" s="1"/>
  <c r="Z4" i="157" s="1"/>
  <c r="Q4" i="157" s="1"/>
  <c r="U9" i="157"/>
  <c r="X9" i="157" s="1"/>
  <c r="Y9" i="157" s="1"/>
  <c r="Z9" i="157" s="1"/>
  <c r="P9" i="157"/>
  <c r="R9" i="157" s="1"/>
  <c r="U11" i="157"/>
  <c r="X11" i="157" s="1"/>
  <c r="Y11" i="157" s="1"/>
  <c r="Z11" i="157" s="1"/>
  <c r="P11" i="157"/>
  <c r="R11" i="157" s="1"/>
  <c r="Q7" i="157"/>
  <c r="Q5" i="157"/>
  <c r="Q6" i="157"/>
  <c r="Q9" i="157"/>
  <c r="Q11" i="157"/>
  <c r="F13" i="157"/>
  <c r="F15" i="157"/>
  <c r="F17" i="157"/>
  <c r="F19" i="157"/>
  <c r="F21" i="157"/>
  <c r="F23" i="157"/>
  <c r="F25" i="157"/>
  <c r="P5" i="157"/>
  <c r="R5" i="157" s="1"/>
  <c r="P6" i="157"/>
  <c r="R6" i="157" s="1"/>
  <c r="P8" i="157"/>
  <c r="R8" i="157" s="1"/>
  <c r="P10" i="157"/>
  <c r="R10" i="157" s="1"/>
  <c r="F12" i="157"/>
  <c r="E27" i="157" l="1"/>
  <c r="F27" i="157" s="1"/>
  <c r="F26" i="157"/>
  <c r="G12" i="157"/>
  <c r="G13" i="157" s="1"/>
  <c r="G14" i="157" s="1"/>
  <c r="G15" i="157" s="1"/>
  <c r="G16" i="157" s="1"/>
  <c r="G17" i="157" s="1"/>
  <c r="G18" i="157" s="1"/>
  <c r="G19" i="157" s="1"/>
  <c r="G20" i="157" s="1"/>
  <c r="G21" i="157" s="1"/>
  <c r="G22" i="157" s="1"/>
  <c r="G23" i="157" s="1"/>
  <c r="G24" i="157" s="1"/>
  <c r="S12" i="157" l="1"/>
  <c r="S11" i="157"/>
  <c r="S9" i="157"/>
  <c r="S7" i="157"/>
  <c r="T7" i="157" s="1"/>
  <c r="S4" i="157"/>
  <c r="S6" i="157"/>
  <c r="F31" i="157"/>
  <c r="G25" i="157"/>
  <c r="S10" i="157"/>
  <c r="T10" i="157" s="1"/>
  <c r="S8" i="157"/>
  <c r="T8" i="157" s="1"/>
  <c r="S5" i="157"/>
  <c r="T5" i="157" s="1"/>
  <c r="T9" i="157" l="1"/>
  <c r="T6" i="157"/>
  <c r="T11" i="157"/>
  <c r="S13" i="157"/>
  <c r="T12" i="157" s="1"/>
  <c r="T4" i="157"/>
  <c r="A111" i="156"/>
  <c r="H68" i="156"/>
  <c r="A68" i="156"/>
  <c r="A88" i="156"/>
  <c r="H100" i="156"/>
  <c r="A100" i="156"/>
  <c r="H69" i="156"/>
  <c r="A69" i="156"/>
  <c r="I75" i="156"/>
  <c r="A75" i="156"/>
  <c r="H61" i="156"/>
  <c r="A61" i="156"/>
  <c r="I109" i="156"/>
  <c r="A109" i="156"/>
  <c r="I63" i="156"/>
  <c r="A63" i="156"/>
  <c r="I74" i="156"/>
  <c r="A74" i="156"/>
  <c r="H98" i="156"/>
  <c r="A98" i="156"/>
  <c r="H104" i="156"/>
  <c r="A104" i="156"/>
  <c r="A107" i="156"/>
  <c r="I103" i="156"/>
  <c r="A103" i="156"/>
  <c r="I71" i="156"/>
  <c r="A71" i="156"/>
  <c r="I70" i="156"/>
  <c r="A70" i="156"/>
  <c r="A53" i="156"/>
  <c r="A52" i="156"/>
  <c r="I105" i="156"/>
  <c r="H60" i="156"/>
  <c r="A60" i="156"/>
  <c r="H59" i="156"/>
  <c r="A59" i="156"/>
  <c r="I58" i="156"/>
  <c r="A58" i="156"/>
  <c r="I57" i="156"/>
  <c r="A57" i="156"/>
  <c r="H56" i="156"/>
  <c r="A56" i="156"/>
  <c r="I55" i="156"/>
  <c r="A55" i="156"/>
  <c r="H54" i="156"/>
  <c r="A54" i="156"/>
  <c r="H50" i="156"/>
  <c r="A50" i="156"/>
  <c r="I49" i="156"/>
  <c r="A49" i="156"/>
  <c r="H48" i="156"/>
  <c r="A48" i="156"/>
  <c r="H47" i="156"/>
  <c r="A47" i="156"/>
  <c r="I46" i="156"/>
  <c r="A46" i="156"/>
  <c r="I45" i="156"/>
  <c r="A45" i="156"/>
  <c r="H44" i="156"/>
  <c r="A44" i="156"/>
  <c r="I43" i="156"/>
  <c r="A43" i="156"/>
  <c r="I42" i="156"/>
  <c r="A42" i="156"/>
  <c r="I41" i="156"/>
  <c r="A41" i="156"/>
  <c r="H40" i="156"/>
  <c r="A40" i="156"/>
  <c r="I38" i="156"/>
  <c r="A38" i="156"/>
  <c r="I37" i="156"/>
  <c r="A37" i="156"/>
  <c r="I36" i="156"/>
  <c r="A36" i="156"/>
  <c r="I35" i="156"/>
  <c r="A35" i="156"/>
  <c r="I34" i="156"/>
  <c r="A34" i="156"/>
  <c r="A33" i="156"/>
  <c r="H32" i="156"/>
  <c r="A32" i="156"/>
  <c r="H31" i="156"/>
  <c r="A31" i="156"/>
  <c r="H30" i="156"/>
  <c r="A30" i="156"/>
  <c r="H28" i="156"/>
  <c r="A28" i="156"/>
  <c r="H27" i="156"/>
  <c r="A27" i="156"/>
  <c r="I26" i="156"/>
  <c r="A26" i="156"/>
  <c r="H25" i="156"/>
  <c r="A25" i="156"/>
  <c r="I24" i="156"/>
  <c r="A24" i="156"/>
  <c r="H23" i="156"/>
  <c r="A23" i="156"/>
  <c r="I22" i="156"/>
  <c r="A22" i="156"/>
  <c r="I21" i="156"/>
  <c r="A21" i="156"/>
  <c r="H20" i="156"/>
  <c r="A20" i="156"/>
  <c r="A19" i="156"/>
  <c r="I18" i="156"/>
  <c r="A18" i="156"/>
  <c r="I17" i="156"/>
  <c r="A17" i="156"/>
  <c r="H15" i="156"/>
  <c r="A15" i="156"/>
  <c r="I14" i="156"/>
  <c r="A14" i="156"/>
  <c r="I13" i="156"/>
  <c r="A13" i="156"/>
  <c r="H12" i="156"/>
  <c r="A12" i="156"/>
  <c r="I11" i="156"/>
  <c r="A11" i="156"/>
  <c r="I10" i="156"/>
  <c r="A10" i="156"/>
  <c r="H9" i="156"/>
  <c r="A9" i="156"/>
  <c r="I8" i="156"/>
  <c r="A8" i="156"/>
  <c r="A7" i="156"/>
  <c r="I6" i="156"/>
  <c r="A6" i="156"/>
  <c r="I5" i="156"/>
  <c r="A5" i="156"/>
  <c r="I4" i="156"/>
  <c r="A4" i="156"/>
  <c r="I3" i="156"/>
  <c r="A3" i="156"/>
  <c r="A2" i="156"/>
  <c r="H67" i="156"/>
  <c r="H99" i="156"/>
  <c r="H119" i="156"/>
  <c r="I92" i="156"/>
  <c r="I85" i="156"/>
  <c r="H66" i="156"/>
  <c r="H73" i="156"/>
  <c r="I84" i="156"/>
  <c r="I72" i="156"/>
  <c r="I83" i="156"/>
  <c r="H81" i="156"/>
  <c r="I79" i="156"/>
  <c r="I39" i="156"/>
  <c r="H87" i="156"/>
  <c r="I120" i="156"/>
  <c r="H62" i="156"/>
  <c r="I64" i="156"/>
  <c r="H65" i="156"/>
  <c r="I94" i="156"/>
  <c r="I95" i="156"/>
  <c r="I96" i="156"/>
  <c r="I97" i="156"/>
  <c r="H101" i="156"/>
  <c r="I102" i="156"/>
  <c r="I106" i="156"/>
  <c r="I108" i="156"/>
  <c r="I110" i="156"/>
  <c r="I115" i="156"/>
  <c r="I116" i="156"/>
  <c r="H118" i="156"/>
  <c r="W31" i="118" l="1"/>
  <c r="W22" i="76"/>
  <c r="C38" i="66"/>
  <c r="Y21" i="66" s="1"/>
  <c r="W22" i="39"/>
  <c r="E25" i="125" l="1"/>
  <c r="W30" i="71" l="1"/>
  <c r="W24" i="35" l="1"/>
  <c r="W24" i="126"/>
  <c r="F104" i="156" s="1"/>
  <c r="J104" i="156" s="1"/>
  <c r="F120" i="156" l="1"/>
  <c r="J120" i="156" s="1"/>
  <c r="V36" i="126"/>
  <c r="E25" i="129"/>
  <c r="E25" i="49" l="1"/>
  <c r="W31" i="146" l="1"/>
  <c r="W30" i="146"/>
  <c r="W27" i="146"/>
  <c r="W24" i="146"/>
  <c r="W22" i="146"/>
  <c r="F36" i="146"/>
  <c r="G33" i="146"/>
  <c r="C27" i="146"/>
  <c r="E25" i="146"/>
  <c r="E24" i="146"/>
  <c r="E23" i="146"/>
  <c r="E22" i="146"/>
  <c r="E21" i="146"/>
  <c r="E20" i="146"/>
  <c r="E19" i="146"/>
  <c r="E18" i="146"/>
  <c r="E17" i="146"/>
  <c r="E16" i="146"/>
  <c r="E15" i="146"/>
  <c r="E14" i="146"/>
  <c r="E13" i="146"/>
  <c r="W12" i="146"/>
  <c r="V12" i="146"/>
  <c r="M12" i="146"/>
  <c r="N12" i="146" s="1"/>
  <c r="I12" i="146"/>
  <c r="E12" i="146"/>
  <c r="E26" i="146" s="1"/>
  <c r="E27" i="146" s="1"/>
  <c r="F27" i="146" s="1"/>
  <c r="W11" i="146"/>
  <c r="V11" i="146"/>
  <c r="M11" i="146"/>
  <c r="N11" i="146" s="1"/>
  <c r="I11" i="146"/>
  <c r="E11" i="146"/>
  <c r="W10" i="146"/>
  <c r="V10" i="146"/>
  <c r="M10" i="146"/>
  <c r="N10" i="146" s="1"/>
  <c r="I10" i="146"/>
  <c r="W9" i="146"/>
  <c r="V9" i="146"/>
  <c r="M9" i="146"/>
  <c r="N9" i="146" s="1"/>
  <c r="I9" i="146"/>
  <c r="W8" i="146"/>
  <c r="V8" i="146"/>
  <c r="M8" i="146"/>
  <c r="N8" i="146" s="1"/>
  <c r="I8" i="146"/>
  <c r="W7" i="146"/>
  <c r="V7" i="146"/>
  <c r="M7" i="146"/>
  <c r="N7" i="146" s="1"/>
  <c r="I7" i="146"/>
  <c r="W6" i="146"/>
  <c r="V6" i="146"/>
  <c r="M6" i="146"/>
  <c r="N6" i="146" s="1"/>
  <c r="I6" i="146"/>
  <c r="AE5" i="146"/>
  <c r="W5" i="146"/>
  <c r="V5" i="146"/>
  <c r="M5" i="146"/>
  <c r="N5" i="146" s="1"/>
  <c r="I5" i="146"/>
  <c r="W4" i="146"/>
  <c r="V4" i="146"/>
  <c r="M4" i="146"/>
  <c r="N4" i="146" s="1"/>
  <c r="I4" i="146"/>
  <c r="W33" i="146" l="1"/>
  <c r="F117" i="156"/>
  <c r="J117" i="156" s="1"/>
  <c r="V36" i="146"/>
  <c r="F11" i="146"/>
  <c r="X27" i="146"/>
  <c r="W32" i="146"/>
  <c r="U4" i="146"/>
  <c r="X4" i="146" s="1"/>
  <c r="Y4" i="146" s="1"/>
  <c r="Z4" i="146" s="1"/>
  <c r="Q4" i="146" s="1"/>
  <c r="P4" i="146"/>
  <c r="R4" i="146" s="1"/>
  <c r="U5" i="146"/>
  <c r="X5" i="146" s="1"/>
  <c r="Y5" i="146" s="1"/>
  <c r="Z5" i="146" s="1"/>
  <c r="Q5" i="146" s="1"/>
  <c r="P5" i="146"/>
  <c r="R5" i="146" s="1"/>
  <c r="U6" i="146"/>
  <c r="X6" i="146" s="1"/>
  <c r="Y6" i="146" s="1"/>
  <c r="Z6" i="146" s="1"/>
  <c r="Q6" i="146" s="1"/>
  <c r="P6" i="146"/>
  <c r="R6" i="146" s="1"/>
  <c r="U7" i="146"/>
  <c r="X7" i="146" s="1"/>
  <c r="Y7" i="146" s="1"/>
  <c r="Z7" i="146" s="1"/>
  <c r="Q7" i="146" s="1"/>
  <c r="P7" i="146"/>
  <c r="R7" i="146" s="1"/>
  <c r="U8" i="146"/>
  <c r="X8" i="146" s="1"/>
  <c r="Y8" i="146" s="1"/>
  <c r="Z8" i="146" s="1"/>
  <c r="Q8" i="146" s="1"/>
  <c r="P8" i="146"/>
  <c r="R8" i="146" s="1"/>
  <c r="U9" i="146"/>
  <c r="X9" i="146" s="1"/>
  <c r="Y9" i="146" s="1"/>
  <c r="Z9" i="146" s="1"/>
  <c r="Q9" i="146" s="1"/>
  <c r="P9" i="146"/>
  <c r="R9" i="146" s="1"/>
  <c r="U10" i="146"/>
  <c r="X10" i="146" s="1"/>
  <c r="Y10" i="146" s="1"/>
  <c r="Z10" i="146" s="1"/>
  <c r="Q10" i="146" s="1"/>
  <c r="P10" i="146"/>
  <c r="R10" i="146" s="1"/>
  <c r="U11" i="146"/>
  <c r="X11" i="146" s="1"/>
  <c r="Y11" i="146" s="1"/>
  <c r="Z11" i="146" s="1"/>
  <c r="Q11" i="146" s="1"/>
  <c r="P11" i="146"/>
  <c r="R11" i="146" s="1"/>
  <c r="U12" i="146"/>
  <c r="X12" i="146" s="1"/>
  <c r="Y12" i="146" s="1"/>
  <c r="Z12" i="146" s="1"/>
  <c r="Q12" i="146" s="1"/>
  <c r="P12" i="146"/>
  <c r="R12" i="146" s="1"/>
  <c r="F13" i="146"/>
  <c r="F14" i="146"/>
  <c r="F15" i="146"/>
  <c r="F16" i="146"/>
  <c r="F17" i="146"/>
  <c r="F18" i="146"/>
  <c r="F19" i="146"/>
  <c r="F20" i="146"/>
  <c r="F21" i="146"/>
  <c r="F22" i="146"/>
  <c r="F23" i="146"/>
  <c r="F24" i="146"/>
  <c r="F25" i="146"/>
  <c r="F12" i="146"/>
  <c r="F26" i="146" l="1"/>
  <c r="G12" i="146"/>
  <c r="G13" i="146" s="1"/>
  <c r="G14" i="146" s="1"/>
  <c r="G15" i="146" s="1"/>
  <c r="G16" i="146" s="1"/>
  <c r="G17" i="146" s="1"/>
  <c r="G18" i="146" s="1"/>
  <c r="G19" i="146" s="1"/>
  <c r="G20" i="146" s="1"/>
  <c r="G21" i="146" s="1"/>
  <c r="G22" i="146" s="1"/>
  <c r="G23" i="146" s="1"/>
  <c r="G24" i="146" s="1"/>
  <c r="G25" i="146" l="1"/>
  <c r="S12" i="146"/>
  <c r="S11" i="146"/>
  <c r="S10" i="146"/>
  <c r="S9" i="146"/>
  <c r="S8" i="146"/>
  <c r="S7" i="146"/>
  <c r="S6" i="146"/>
  <c r="S5" i="146"/>
  <c r="S4" i="146"/>
  <c r="F31" i="146"/>
  <c r="T12" i="146" l="1"/>
  <c r="T6" i="146"/>
  <c r="S13" i="146"/>
  <c r="T11" i="146" s="1"/>
  <c r="T4" i="146"/>
  <c r="T8" i="146"/>
  <c r="T9" i="146"/>
  <c r="W31" i="145"/>
  <c r="W30" i="145"/>
  <c r="W27" i="145"/>
  <c r="W24" i="145"/>
  <c r="W22" i="145"/>
  <c r="F36" i="145"/>
  <c r="G33" i="145"/>
  <c r="C27" i="145"/>
  <c r="E25" i="145"/>
  <c r="E24" i="145"/>
  <c r="E23" i="145"/>
  <c r="E22" i="145"/>
  <c r="E21" i="145"/>
  <c r="E20" i="145"/>
  <c r="E19" i="145"/>
  <c r="E18" i="145"/>
  <c r="E17" i="145"/>
  <c r="E16" i="145"/>
  <c r="E15" i="145"/>
  <c r="E14" i="145"/>
  <c r="E13" i="145"/>
  <c r="W12" i="145"/>
  <c r="V12" i="145"/>
  <c r="M12" i="145"/>
  <c r="N12" i="145" s="1"/>
  <c r="I12" i="145"/>
  <c r="E12" i="145"/>
  <c r="E26" i="145" s="1"/>
  <c r="E27" i="145" s="1"/>
  <c r="F27" i="145" s="1"/>
  <c r="W11" i="145"/>
  <c r="V11" i="145"/>
  <c r="M11" i="145"/>
  <c r="N11" i="145" s="1"/>
  <c r="I11" i="145"/>
  <c r="E11" i="145"/>
  <c r="W10" i="145"/>
  <c r="V10" i="145"/>
  <c r="M10" i="145"/>
  <c r="N10" i="145" s="1"/>
  <c r="I10" i="145"/>
  <c r="W9" i="145"/>
  <c r="V9" i="145"/>
  <c r="M9" i="145"/>
  <c r="N9" i="145" s="1"/>
  <c r="I9" i="145"/>
  <c r="W8" i="145"/>
  <c r="V8" i="145"/>
  <c r="M8" i="145"/>
  <c r="N8" i="145" s="1"/>
  <c r="I8" i="145"/>
  <c r="W7" i="145"/>
  <c r="V7" i="145"/>
  <c r="M7" i="145"/>
  <c r="N7" i="145" s="1"/>
  <c r="I7" i="145"/>
  <c r="W6" i="145"/>
  <c r="V6" i="145"/>
  <c r="M6" i="145"/>
  <c r="N6" i="145" s="1"/>
  <c r="I6" i="145"/>
  <c r="AE5" i="145"/>
  <c r="W5" i="145"/>
  <c r="V5" i="145"/>
  <c r="M5" i="145"/>
  <c r="N5" i="145" s="1"/>
  <c r="I5" i="145"/>
  <c r="W4" i="145"/>
  <c r="V4" i="145"/>
  <c r="M4" i="145"/>
  <c r="N4" i="145" s="1"/>
  <c r="I4" i="145"/>
  <c r="W33" i="145" l="1"/>
  <c r="V36" i="145"/>
  <c r="F112" i="156"/>
  <c r="J112" i="156" s="1"/>
  <c r="T10" i="146"/>
  <c r="F11" i="145"/>
  <c r="T5" i="146"/>
  <c r="T7" i="146"/>
  <c r="X27" i="145"/>
  <c r="W32" i="145"/>
  <c r="U4" i="145"/>
  <c r="X4" i="145" s="1"/>
  <c r="Y4" i="145" s="1"/>
  <c r="Z4" i="145" s="1"/>
  <c r="Q4" i="145" s="1"/>
  <c r="P4" i="145"/>
  <c r="R4" i="145" s="1"/>
  <c r="U5" i="145"/>
  <c r="X5" i="145" s="1"/>
  <c r="Y5" i="145" s="1"/>
  <c r="Z5" i="145" s="1"/>
  <c r="Q5" i="145" s="1"/>
  <c r="P5" i="145"/>
  <c r="R5" i="145" s="1"/>
  <c r="U6" i="145"/>
  <c r="X6" i="145" s="1"/>
  <c r="Y6" i="145" s="1"/>
  <c r="Z6" i="145" s="1"/>
  <c r="Q6" i="145" s="1"/>
  <c r="P6" i="145"/>
  <c r="R6" i="145" s="1"/>
  <c r="U7" i="145"/>
  <c r="X7" i="145" s="1"/>
  <c r="Y7" i="145" s="1"/>
  <c r="Z7" i="145" s="1"/>
  <c r="Q7" i="145" s="1"/>
  <c r="P7" i="145"/>
  <c r="R7" i="145" s="1"/>
  <c r="U8" i="145"/>
  <c r="X8" i="145" s="1"/>
  <c r="Y8" i="145" s="1"/>
  <c r="Z8" i="145" s="1"/>
  <c r="Q8" i="145" s="1"/>
  <c r="P8" i="145"/>
  <c r="R8" i="145" s="1"/>
  <c r="U9" i="145"/>
  <c r="X9" i="145" s="1"/>
  <c r="Y9" i="145" s="1"/>
  <c r="Z9" i="145" s="1"/>
  <c r="Q9" i="145" s="1"/>
  <c r="P9" i="145"/>
  <c r="R9" i="145" s="1"/>
  <c r="U10" i="145"/>
  <c r="X10" i="145" s="1"/>
  <c r="Y10" i="145" s="1"/>
  <c r="Z10" i="145" s="1"/>
  <c r="Q10" i="145" s="1"/>
  <c r="P10" i="145"/>
  <c r="R10" i="145" s="1"/>
  <c r="U11" i="145"/>
  <c r="X11" i="145" s="1"/>
  <c r="Y11" i="145" s="1"/>
  <c r="Z11" i="145" s="1"/>
  <c r="Q11" i="145" s="1"/>
  <c r="P11" i="145"/>
  <c r="R11" i="145" s="1"/>
  <c r="U12" i="145"/>
  <c r="X12" i="145" s="1"/>
  <c r="Y12" i="145" s="1"/>
  <c r="Z12" i="145" s="1"/>
  <c r="Q12" i="145" s="1"/>
  <c r="P12" i="145"/>
  <c r="R12" i="145" s="1"/>
  <c r="F13" i="145"/>
  <c r="F14" i="145"/>
  <c r="F15" i="145"/>
  <c r="F16" i="145"/>
  <c r="F17" i="145"/>
  <c r="F18" i="145"/>
  <c r="F19" i="145"/>
  <c r="F20" i="145"/>
  <c r="F21" i="145"/>
  <c r="F22" i="145"/>
  <c r="F23" i="145"/>
  <c r="F24" i="145"/>
  <c r="F25" i="145"/>
  <c r="F12" i="145"/>
  <c r="F26" i="145" l="1"/>
  <c r="G12" i="145"/>
  <c r="G13" i="145" s="1"/>
  <c r="G14" i="145" s="1"/>
  <c r="G15" i="145" s="1"/>
  <c r="G16" i="145" s="1"/>
  <c r="G17" i="145" s="1"/>
  <c r="G18" i="145" s="1"/>
  <c r="G19" i="145" s="1"/>
  <c r="G20" i="145" s="1"/>
  <c r="G21" i="145" s="1"/>
  <c r="G22" i="145" s="1"/>
  <c r="G23" i="145" s="1"/>
  <c r="G24" i="145" s="1"/>
  <c r="G25" i="145" l="1"/>
  <c r="S12" i="145"/>
  <c r="S11" i="145"/>
  <c r="S10" i="145"/>
  <c r="S9" i="145"/>
  <c r="S8" i="145"/>
  <c r="S7" i="145"/>
  <c r="S6" i="145"/>
  <c r="S5" i="145"/>
  <c r="S4" i="145"/>
  <c r="F31" i="145"/>
  <c r="T8" i="145" l="1"/>
  <c r="T10" i="145"/>
  <c r="S13" i="145"/>
  <c r="T11" i="145" s="1"/>
  <c r="T4" i="145"/>
  <c r="T12" i="145"/>
  <c r="T9" i="145"/>
  <c r="W31" i="144"/>
  <c r="W30" i="144"/>
  <c r="W27" i="144"/>
  <c r="W24" i="144"/>
  <c r="W22" i="144"/>
  <c r="F36" i="144"/>
  <c r="G33" i="144"/>
  <c r="C27" i="144"/>
  <c r="E25" i="144"/>
  <c r="E24" i="144"/>
  <c r="E23" i="144"/>
  <c r="E22" i="144"/>
  <c r="E21" i="144"/>
  <c r="E20" i="144"/>
  <c r="E19" i="144"/>
  <c r="E18" i="144"/>
  <c r="E17" i="144"/>
  <c r="E16" i="144"/>
  <c r="E15" i="144"/>
  <c r="E14" i="144"/>
  <c r="E13" i="144"/>
  <c r="W12" i="144"/>
  <c r="V12" i="144"/>
  <c r="M12" i="144"/>
  <c r="N12" i="144" s="1"/>
  <c r="I12" i="144"/>
  <c r="E12" i="144"/>
  <c r="W11" i="144"/>
  <c r="V11" i="144"/>
  <c r="M11" i="144"/>
  <c r="N11" i="144" s="1"/>
  <c r="I11" i="144"/>
  <c r="E11" i="144"/>
  <c r="W10" i="144"/>
  <c r="V10" i="144"/>
  <c r="M10" i="144"/>
  <c r="N10" i="144" s="1"/>
  <c r="I10" i="144"/>
  <c r="W9" i="144"/>
  <c r="V9" i="144"/>
  <c r="M9" i="144"/>
  <c r="N9" i="144" s="1"/>
  <c r="I9" i="144"/>
  <c r="W8" i="144"/>
  <c r="V8" i="144"/>
  <c r="M8" i="144"/>
  <c r="N8" i="144" s="1"/>
  <c r="I8" i="144"/>
  <c r="W7" i="144"/>
  <c r="V7" i="144"/>
  <c r="M7" i="144"/>
  <c r="N7" i="144" s="1"/>
  <c r="I7" i="144"/>
  <c r="W6" i="144"/>
  <c r="V6" i="144"/>
  <c r="M6" i="144"/>
  <c r="N6" i="144" s="1"/>
  <c r="I6" i="144"/>
  <c r="AE5" i="144"/>
  <c r="W5" i="144"/>
  <c r="V5" i="144"/>
  <c r="M5" i="144"/>
  <c r="N5" i="144" s="1"/>
  <c r="I5" i="144"/>
  <c r="W4" i="144"/>
  <c r="V4" i="144"/>
  <c r="M4" i="144"/>
  <c r="N4" i="144" s="1"/>
  <c r="I4" i="144"/>
  <c r="W33" i="144" l="1"/>
  <c r="V36" i="144"/>
  <c r="F111" i="156"/>
  <c r="J111" i="156" s="1"/>
  <c r="T6" i="145"/>
  <c r="E26" i="144"/>
  <c r="E27" i="144" s="1"/>
  <c r="F27" i="144" s="1"/>
  <c r="T5" i="145"/>
  <c r="T7" i="145"/>
  <c r="X27" i="144"/>
  <c r="W32" i="144"/>
  <c r="U4" i="144"/>
  <c r="X4" i="144" s="1"/>
  <c r="Y4" i="144" s="1"/>
  <c r="Z4" i="144" s="1"/>
  <c r="Q4" i="144" s="1"/>
  <c r="P4" i="144"/>
  <c r="R4" i="144" s="1"/>
  <c r="U5" i="144"/>
  <c r="X5" i="144" s="1"/>
  <c r="Y5" i="144" s="1"/>
  <c r="Z5" i="144" s="1"/>
  <c r="Q5" i="144" s="1"/>
  <c r="P5" i="144"/>
  <c r="R5" i="144" s="1"/>
  <c r="U6" i="144"/>
  <c r="X6" i="144" s="1"/>
  <c r="Y6" i="144" s="1"/>
  <c r="Z6" i="144" s="1"/>
  <c r="Q6" i="144" s="1"/>
  <c r="P6" i="144"/>
  <c r="R6" i="144" s="1"/>
  <c r="U7" i="144"/>
  <c r="X7" i="144" s="1"/>
  <c r="Y7" i="144" s="1"/>
  <c r="Z7" i="144" s="1"/>
  <c r="Q7" i="144" s="1"/>
  <c r="P7" i="144"/>
  <c r="R7" i="144" s="1"/>
  <c r="U8" i="144"/>
  <c r="X8" i="144" s="1"/>
  <c r="Y8" i="144" s="1"/>
  <c r="Z8" i="144" s="1"/>
  <c r="Q8" i="144" s="1"/>
  <c r="P8" i="144"/>
  <c r="R8" i="144" s="1"/>
  <c r="U9" i="144"/>
  <c r="X9" i="144" s="1"/>
  <c r="Y9" i="144" s="1"/>
  <c r="Z9" i="144" s="1"/>
  <c r="Q9" i="144" s="1"/>
  <c r="P9" i="144"/>
  <c r="R9" i="144" s="1"/>
  <c r="U10" i="144"/>
  <c r="X10" i="144" s="1"/>
  <c r="Y10" i="144" s="1"/>
  <c r="Z10" i="144" s="1"/>
  <c r="Q10" i="144" s="1"/>
  <c r="P10" i="144"/>
  <c r="R10" i="144" s="1"/>
  <c r="U11" i="144"/>
  <c r="X11" i="144" s="1"/>
  <c r="Y11" i="144" s="1"/>
  <c r="Z11" i="144" s="1"/>
  <c r="Q11" i="144" s="1"/>
  <c r="P11" i="144"/>
  <c r="R11" i="144" s="1"/>
  <c r="U12" i="144"/>
  <c r="X12" i="144" s="1"/>
  <c r="Y12" i="144" s="1"/>
  <c r="Z12" i="144" s="1"/>
  <c r="Q12" i="144" s="1"/>
  <c r="P12" i="144"/>
  <c r="R12" i="144" s="1"/>
  <c r="F13" i="144"/>
  <c r="F14" i="144"/>
  <c r="F15" i="144"/>
  <c r="F16" i="144"/>
  <c r="F17" i="144"/>
  <c r="F18" i="144"/>
  <c r="F19" i="144"/>
  <c r="F20" i="144"/>
  <c r="F21" i="144"/>
  <c r="F22" i="144"/>
  <c r="F23" i="144"/>
  <c r="F24" i="144"/>
  <c r="F25" i="144"/>
  <c r="F12" i="144"/>
  <c r="F11" i="144" l="1"/>
  <c r="F26" i="144"/>
  <c r="G12" i="144"/>
  <c r="G13" i="144" s="1"/>
  <c r="G14" i="144" s="1"/>
  <c r="G15" i="144" s="1"/>
  <c r="G16" i="144" s="1"/>
  <c r="G17" i="144" s="1"/>
  <c r="G18" i="144" s="1"/>
  <c r="G19" i="144" s="1"/>
  <c r="G20" i="144" s="1"/>
  <c r="G21" i="144" s="1"/>
  <c r="G22" i="144" s="1"/>
  <c r="G23" i="144" s="1"/>
  <c r="G24" i="144" s="1"/>
  <c r="G25" i="144" l="1"/>
  <c r="S12" i="144"/>
  <c r="S11" i="144"/>
  <c r="S10" i="144"/>
  <c r="S9" i="144"/>
  <c r="S8" i="144"/>
  <c r="S7" i="144"/>
  <c r="S6" i="144"/>
  <c r="S5" i="144"/>
  <c r="S4" i="144"/>
  <c r="F31" i="144"/>
  <c r="S13" i="144" l="1"/>
  <c r="T11" i="144" s="1"/>
  <c r="T4" i="144"/>
  <c r="T7" i="144"/>
  <c r="T8" i="144"/>
  <c r="W31" i="143"/>
  <c r="W30" i="143"/>
  <c r="W27" i="143"/>
  <c r="W24" i="143"/>
  <c r="F68" i="156" s="1"/>
  <c r="J68" i="156" s="1"/>
  <c r="W22" i="143"/>
  <c r="F36" i="143"/>
  <c r="G33" i="143"/>
  <c r="C27" i="143"/>
  <c r="E25" i="143"/>
  <c r="E24" i="143"/>
  <c r="E23" i="143"/>
  <c r="E22" i="143"/>
  <c r="E21" i="143"/>
  <c r="E20" i="143"/>
  <c r="E19" i="143"/>
  <c r="E18" i="143"/>
  <c r="E17" i="143"/>
  <c r="E16" i="143"/>
  <c r="E15" i="143"/>
  <c r="E14" i="143"/>
  <c r="E13" i="143"/>
  <c r="W12" i="143"/>
  <c r="V12" i="143"/>
  <c r="M12" i="143"/>
  <c r="N12" i="143" s="1"/>
  <c r="I12" i="143"/>
  <c r="E12" i="143"/>
  <c r="W11" i="143"/>
  <c r="V11" i="143"/>
  <c r="M11" i="143"/>
  <c r="N11" i="143" s="1"/>
  <c r="I11" i="143"/>
  <c r="E11" i="143"/>
  <c r="W10" i="143"/>
  <c r="V10" i="143"/>
  <c r="M10" i="143"/>
  <c r="N10" i="143" s="1"/>
  <c r="I10" i="143"/>
  <c r="W9" i="143"/>
  <c r="V9" i="143"/>
  <c r="M9" i="143"/>
  <c r="N9" i="143" s="1"/>
  <c r="I9" i="143"/>
  <c r="W8" i="143"/>
  <c r="V8" i="143"/>
  <c r="M8" i="143"/>
  <c r="N8" i="143" s="1"/>
  <c r="I8" i="143"/>
  <c r="W7" i="143"/>
  <c r="V7" i="143"/>
  <c r="M7" i="143"/>
  <c r="N7" i="143" s="1"/>
  <c r="I7" i="143"/>
  <c r="W6" i="143"/>
  <c r="V6" i="143"/>
  <c r="M6" i="143"/>
  <c r="N6" i="143" s="1"/>
  <c r="I6" i="143"/>
  <c r="AE5" i="143"/>
  <c r="W5" i="143"/>
  <c r="V5" i="143"/>
  <c r="M5" i="143"/>
  <c r="N5" i="143" s="1"/>
  <c r="I5" i="143"/>
  <c r="W4" i="143"/>
  <c r="V4" i="143"/>
  <c r="M4" i="143"/>
  <c r="N4" i="143" s="1"/>
  <c r="I4" i="143"/>
  <c r="W33" i="143" l="1"/>
  <c r="T9" i="144"/>
  <c r="T6" i="144"/>
  <c r="T10" i="144"/>
  <c r="E26" i="143"/>
  <c r="E27" i="143" s="1"/>
  <c r="F27" i="143" s="1"/>
  <c r="T5" i="144"/>
  <c r="T12" i="144"/>
  <c r="V36" i="143"/>
  <c r="X27" i="143"/>
  <c r="W32" i="143"/>
  <c r="U4" i="143"/>
  <c r="X4" i="143" s="1"/>
  <c r="Y4" i="143" s="1"/>
  <c r="Z4" i="143" s="1"/>
  <c r="Q4" i="143" s="1"/>
  <c r="P4" i="143"/>
  <c r="R4" i="143" s="1"/>
  <c r="U5" i="143"/>
  <c r="X5" i="143" s="1"/>
  <c r="Y5" i="143" s="1"/>
  <c r="Z5" i="143" s="1"/>
  <c r="Q5" i="143" s="1"/>
  <c r="P5" i="143"/>
  <c r="R5" i="143" s="1"/>
  <c r="U6" i="143"/>
  <c r="X6" i="143" s="1"/>
  <c r="Y6" i="143" s="1"/>
  <c r="Z6" i="143" s="1"/>
  <c r="Q6" i="143" s="1"/>
  <c r="P6" i="143"/>
  <c r="R6" i="143" s="1"/>
  <c r="U7" i="143"/>
  <c r="X7" i="143" s="1"/>
  <c r="Y7" i="143" s="1"/>
  <c r="Z7" i="143" s="1"/>
  <c r="Q7" i="143" s="1"/>
  <c r="P7" i="143"/>
  <c r="R7" i="143" s="1"/>
  <c r="U8" i="143"/>
  <c r="X8" i="143" s="1"/>
  <c r="Y8" i="143" s="1"/>
  <c r="Z8" i="143" s="1"/>
  <c r="Q8" i="143" s="1"/>
  <c r="P8" i="143"/>
  <c r="R8" i="143" s="1"/>
  <c r="U9" i="143"/>
  <c r="X9" i="143" s="1"/>
  <c r="Y9" i="143" s="1"/>
  <c r="Z9" i="143" s="1"/>
  <c r="Q9" i="143" s="1"/>
  <c r="P9" i="143"/>
  <c r="R9" i="143" s="1"/>
  <c r="U10" i="143"/>
  <c r="X10" i="143" s="1"/>
  <c r="Y10" i="143" s="1"/>
  <c r="Z10" i="143" s="1"/>
  <c r="Q10" i="143" s="1"/>
  <c r="P10" i="143"/>
  <c r="R10" i="143" s="1"/>
  <c r="U11" i="143"/>
  <c r="X11" i="143" s="1"/>
  <c r="Y11" i="143" s="1"/>
  <c r="Z11" i="143" s="1"/>
  <c r="Q11" i="143" s="1"/>
  <c r="P11" i="143"/>
  <c r="R11" i="143" s="1"/>
  <c r="U12" i="143"/>
  <c r="X12" i="143" s="1"/>
  <c r="Y12" i="143" s="1"/>
  <c r="Z12" i="143" s="1"/>
  <c r="Q12" i="143" s="1"/>
  <c r="P12" i="143"/>
  <c r="R12" i="143" s="1"/>
  <c r="F13" i="143"/>
  <c r="F14" i="143"/>
  <c r="F15" i="143"/>
  <c r="F16" i="143"/>
  <c r="F17" i="143"/>
  <c r="F18" i="143"/>
  <c r="F19" i="143"/>
  <c r="F20" i="143"/>
  <c r="F21" i="143"/>
  <c r="F22" i="143"/>
  <c r="F23" i="143"/>
  <c r="F24" i="143"/>
  <c r="F25" i="143"/>
  <c r="F12" i="143"/>
  <c r="F11" i="143" l="1"/>
  <c r="F26" i="143"/>
  <c r="G12" i="143"/>
  <c r="G13" i="143" s="1"/>
  <c r="G14" i="143" s="1"/>
  <c r="G15" i="143" s="1"/>
  <c r="G16" i="143" s="1"/>
  <c r="G17" i="143" s="1"/>
  <c r="G18" i="143" s="1"/>
  <c r="G19" i="143" s="1"/>
  <c r="G20" i="143" s="1"/>
  <c r="G21" i="143" s="1"/>
  <c r="G22" i="143" s="1"/>
  <c r="G23" i="143" s="1"/>
  <c r="G24" i="143" s="1"/>
  <c r="G25" i="143" l="1"/>
  <c r="S12" i="143"/>
  <c r="S11" i="143"/>
  <c r="S10" i="143"/>
  <c r="S9" i="143"/>
  <c r="S8" i="143"/>
  <c r="S7" i="143"/>
  <c r="S6" i="143"/>
  <c r="S5" i="143"/>
  <c r="S4" i="143"/>
  <c r="F31" i="143"/>
  <c r="W31" i="142" l="1"/>
  <c r="W30" i="142"/>
  <c r="W27" i="142"/>
  <c r="W24" i="142"/>
  <c r="W22" i="142"/>
  <c r="F36" i="142"/>
  <c r="G33" i="142"/>
  <c r="C27" i="142"/>
  <c r="E25" i="142"/>
  <c r="E24" i="142"/>
  <c r="E23" i="142"/>
  <c r="E22" i="142"/>
  <c r="E21" i="142"/>
  <c r="E20" i="142"/>
  <c r="E19" i="142"/>
  <c r="E18" i="142"/>
  <c r="E17" i="142"/>
  <c r="E16" i="142"/>
  <c r="E15" i="142"/>
  <c r="E14" i="142"/>
  <c r="E13" i="142"/>
  <c r="W12" i="142"/>
  <c r="V12" i="142"/>
  <c r="M12" i="142"/>
  <c r="N12" i="142" s="1"/>
  <c r="I12" i="142"/>
  <c r="E12" i="142"/>
  <c r="W11" i="142"/>
  <c r="V11" i="142"/>
  <c r="M11" i="142"/>
  <c r="N11" i="142" s="1"/>
  <c r="I11" i="142"/>
  <c r="E11" i="142"/>
  <c r="W10" i="142"/>
  <c r="V10" i="142"/>
  <c r="M10" i="142"/>
  <c r="N10" i="142" s="1"/>
  <c r="I10" i="142"/>
  <c r="W9" i="142"/>
  <c r="V9" i="142"/>
  <c r="M9" i="142"/>
  <c r="N9" i="142" s="1"/>
  <c r="I9" i="142"/>
  <c r="W8" i="142"/>
  <c r="V8" i="142"/>
  <c r="M8" i="142"/>
  <c r="N8" i="142" s="1"/>
  <c r="I8" i="142"/>
  <c r="W7" i="142"/>
  <c r="V7" i="142"/>
  <c r="M7" i="142"/>
  <c r="N7" i="142" s="1"/>
  <c r="I7" i="142"/>
  <c r="W6" i="142"/>
  <c r="V6" i="142"/>
  <c r="M6" i="142"/>
  <c r="N6" i="142" s="1"/>
  <c r="I6" i="142"/>
  <c r="AE5" i="142"/>
  <c r="W5" i="142"/>
  <c r="V5" i="142"/>
  <c r="M5" i="142"/>
  <c r="N5" i="142" s="1"/>
  <c r="I5" i="142"/>
  <c r="W4" i="142"/>
  <c r="V4" i="142"/>
  <c r="M4" i="142"/>
  <c r="N4" i="142" s="1"/>
  <c r="I4" i="142"/>
  <c r="V36" i="142" l="1"/>
  <c r="F90" i="156"/>
  <c r="J90" i="156" s="1"/>
  <c r="F11" i="142"/>
  <c r="E26" i="142"/>
  <c r="E27" i="142" s="1"/>
  <c r="F27" i="142" s="1"/>
  <c r="W33" i="142"/>
  <c r="X27" i="142"/>
  <c r="W32" i="142"/>
  <c r="U4" i="142"/>
  <c r="X4" i="142" s="1"/>
  <c r="Y4" i="142" s="1"/>
  <c r="Z4" i="142" s="1"/>
  <c r="Q4" i="142" s="1"/>
  <c r="P4" i="142"/>
  <c r="R4" i="142" s="1"/>
  <c r="U5" i="142"/>
  <c r="X5" i="142" s="1"/>
  <c r="Y5" i="142" s="1"/>
  <c r="Z5" i="142" s="1"/>
  <c r="Q5" i="142" s="1"/>
  <c r="P5" i="142"/>
  <c r="R5" i="142" s="1"/>
  <c r="U6" i="142"/>
  <c r="X6" i="142" s="1"/>
  <c r="Y6" i="142" s="1"/>
  <c r="Z6" i="142" s="1"/>
  <c r="Q6" i="142" s="1"/>
  <c r="P6" i="142"/>
  <c r="R6" i="142" s="1"/>
  <c r="U7" i="142"/>
  <c r="X7" i="142" s="1"/>
  <c r="Y7" i="142" s="1"/>
  <c r="Z7" i="142" s="1"/>
  <c r="Q7" i="142" s="1"/>
  <c r="P7" i="142"/>
  <c r="R7" i="142" s="1"/>
  <c r="U8" i="142"/>
  <c r="X8" i="142" s="1"/>
  <c r="Y8" i="142" s="1"/>
  <c r="Z8" i="142" s="1"/>
  <c r="Q8" i="142" s="1"/>
  <c r="P8" i="142"/>
  <c r="R8" i="142" s="1"/>
  <c r="U9" i="142"/>
  <c r="X9" i="142" s="1"/>
  <c r="Y9" i="142" s="1"/>
  <c r="Z9" i="142" s="1"/>
  <c r="Q9" i="142" s="1"/>
  <c r="P9" i="142"/>
  <c r="R9" i="142" s="1"/>
  <c r="U10" i="142"/>
  <c r="X10" i="142" s="1"/>
  <c r="Y10" i="142" s="1"/>
  <c r="Z10" i="142" s="1"/>
  <c r="Q10" i="142" s="1"/>
  <c r="P10" i="142"/>
  <c r="R10" i="142" s="1"/>
  <c r="U11" i="142"/>
  <c r="X11" i="142" s="1"/>
  <c r="Y11" i="142" s="1"/>
  <c r="Z11" i="142" s="1"/>
  <c r="Q11" i="142" s="1"/>
  <c r="P11" i="142"/>
  <c r="R11" i="142" s="1"/>
  <c r="U12" i="142"/>
  <c r="X12" i="142" s="1"/>
  <c r="Y12" i="142" s="1"/>
  <c r="Z12" i="142" s="1"/>
  <c r="Q12" i="142" s="1"/>
  <c r="P12" i="142"/>
  <c r="R12" i="142" s="1"/>
  <c r="F13" i="142"/>
  <c r="F14" i="142"/>
  <c r="F15" i="142"/>
  <c r="F16" i="142"/>
  <c r="F17" i="142"/>
  <c r="F18" i="142"/>
  <c r="F19" i="142"/>
  <c r="F20" i="142"/>
  <c r="F21" i="142"/>
  <c r="F22" i="142"/>
  <c r="F23" i="142"/>
  <c r="F24" i="142"/>
  <c r="F25" i="142"/>
  <c r="F12" i="142"/>
  <c r="F26" i="142" l="1"/>
  <c r="G12" i="142"/>
  <c r="G13" i="142" s="1"/>
  <c r="G14" i="142" s="1"/>
  <c r="G15" i="142" s="1"/>
  <c r="G16" i="142" s="1"/>
  <c r="G17" i="142" s="1"/>
  <c r="G18" i="142" s="1"/>
  <c r="G19" i="142" s="1"/>
  <c r="G20" i="142" s="1"/>
  <c r="G21" i="142" s="1"/>
  <c r="G22" i="142" s="1"/>
  <c r="G23" i="142" s="1"/>
  <c r="G24" i="142" s="1"/>
  <c r="G25" i="142" l="1"/>
  <c r="S12" i="142"/>
  <c r="S11" i="142"/>
  <c r="S10" i="142"/>
  <c r="S9" i="142"/>
  <c r="S8" i="142"/>
  <c r="S7" i="142"/>
  <c r="S6" i="142"/>
  <c r="S5" i="142"/>
  <c r="S4" i="142"/>
  <c r="F31" i="142"/>
  <c r="T12" i="142" l="1"/>
  <c r="T22" i="142" s="1"/>
  <c r="S13" i="142"/>
  <c r="T10" i="142" s="1"/>
  <c r="T20" i="142" s="1"/>
  <c r="T4" i="142"/>
  <c r="T14" i="142" s="1"/>
  <c r="W31" i="141"/>
  <c r="W30" i="141"/>
  <c r="W27" i="141"/>
  <c r="W24" i="141"/>
  <c r="W22" i="141"/>
  <c r="F36" i="141"/>
  <c r="G33" i="141"/>
  <c r="C27" i="141"/>
  <c r="E25" i="141"/>
  <c r="E24" i="141"/>
  <c r="E23" i="141"/>
  <c r="E22" i="141"/>
  <c r="E21" i="141"/>
  <c r="E20" i="141"/>
  <c r="E19" i="141"/>
  <c r="E18" i="141"/>
  <c r="E17" i="141"/>
  <c r="E16" i="141"/>
  <c r="E15" i="141"/>
  <c r="E14" i="141"/>
  <c r="E13" i="141"/>
  <c r="W12" i="141"/>
  <c r="V12" i="141"/>
  <c r="M12" i="141"/>
  <c r="N12" i="141" s="1"/>
  <c r="I12" i="141"/>
  <c r="E12" i="141"/>
  <c r="W11" i="141"/>
  <c r="V11" i="141"/>
  <c r="M11" i="141"/>
  <c r="N11" i="141" s="1"/>
  <c r="I11" i="141"/>
  <c r="E11" i="141"/>
  <c r="W10" i="141"/>
  <c r="V10" i="141"/>
  <c r="M10" i="141"/>
  <c r="N10" i="141" s="1"/>
  <c r="I10" i="141"/>
  <c r="W9" i="141"/>
  <c r="V9" i="141"/>
  <c r="M9" i="141"/>
  <c r="N9" i="141" s="1"/>
  <c r="I9" i="141"/>
  <c r="W8" i="141"/>
  <c r="V8" i="141"/>
  <c r="M8" i="141"/>
  <c r="N8" i="141" s="1"/>
  <c r="I8" i="141"/>
  <c r="W7" i="141"/>
  <c r="V7" i="141"/>
  <c r="M7" i="141"/>
  <c r="N7" i="141" s="1"/>
  <c r="I7" i="141"/>
  <c r="W6" i="141"/>
  <c r="V6" i="141"/>
  <c r="M6" i="141"/>
  <c r="N6" i="141" s="1"/>
  <c r="I6" i="141"/>
  <c r="AE5" i="141"/>
  <c r="W5" i="141"/>
  <c r="V5" i="141"/>
  <c r="M5" i="141"/>
  <c r="N5" i="141" s="1"/>
  <c r="I5" i="141"/>
  <c r="W4" i="141"/>
  <c r="V4" i="141"/>
  <c r="M4" i="141"/>
  <c r="N4" i="141" s="1"/>
  <c r="I4" i="141"/>
  <c r="T8" i="142" l="1"/>
  <c r="T18" i="142" s="1"/>
  <c r="E26" i="141"/>
  <c r="E27" i="141" s="1"/>
  <c r="F27" i="141" s="1"/>
  <c r="T9" i="142"/>
  <c r="T19" i="142" s="1"/>
  <c r="T7" i="142"/>
  <c r="T17" i="142" s="1"/>
  <c r="T11" i="142"/>
  <c r="T21" i="142" s="1"/>
  <c r="V36" i="141"/>
  <c r="F88" i="156"/>
  <c r="J88" i="156" s="1"/>
  <c r="F25" i="141"/>
  <c r="I49" i="141" s="1"/>
  <c r="W33" i="141"/>
  <c r="T5" i="142"/>
  <c r="T15" i="142" s="1"/>
  <c r="T6" i="142"/>
  <c r="T16" i="142" s="1"/>
  <c r="X27" i="141"/>
  <c r="W32" i="141"/>
  <c r="U4" i="141"/>
  <c r="X4" i="141" s="1"/>
  <c r="Y4" i="141" s="1"/>
  <c r="Z4" i="141" s="1"/>
  <c r="Q4" i="141" s="1"/>
  <c r="P4" i="141"/>
  <c r="R4" i="141" s="1"/>
  <c r="U5" i="141"/>
  <c r="X5" i="141" s="1"/>
  <c r="Y5" i="141" s="1"/>
  <c r="Z5" i="141" s="1"/>
  <c r="Q5" i="141" s="1"/>
  <c r="P5" i="141"/>
  <c r="R5" i="141" s="1"/>
  <c r="U6" i="141"/>
  <c r="X6" i="141" s="1"/>
  <c r="Y6" i="141" s="1"/>
  <c r="Z6" i="141" s="1"/>
  <c r="Q6" i="141" s="1"/>
  <c r="P6" i="141"/>
  <c r="R6" i="141" s="1"/>
  <c r="U7" i="141"/>
  <c r="X7" i="141" s="1"/>
  <c r="Y7" i="141" s="1"/>
  <c r="Z7" i="141" s="1"/>
  <c r="Q7" i="141" s="1"/>
  <c r="P7" i="141"/>
  <c r="R7" i="141" s="1"/>
  <c r="U8" i="141"/>
  <c r="X8" i="141" s="1"/>
  <c r="Y8" i="141" s="1"/>
  <c r="Z8" i="141" s="1"/>
  <c r="Q8" i="141" s="1"/>
  <c r="P8" i="141"/>
  <c r="R8" i="141" s="1"/>
  <c r="U9" i="141"/>
  <c r="X9" i="141" s="1"/>
  <c r="Y9" i="141" s="1"/>
  <c r="Z9" i="141" s="1"/>
  <c r="Q9" i="141" s="1"/>
  <c r="P9" i="141"/>
  <c r="R9" i="141" s="1"/>
  <c r="U10" i="141"/>
  <c r="X10" i="141" s="1"/>
  <c r="Y10" i="141" s="1"/>
  <c r="Z10" i="141" s="1"/>
  <c r="Q10" i="141" s="1"/>
  <c r="P10" i="141"/>
  <c r="R10" i="141" s="1"/>
  <c r="U11" i="141"/>
  <c r="X11" i="141" s="1"/>
  <c r="Y11" i="141" s="1"/>
  <c r="Z11" i="141" s="1"/>
  <c r="Q11" i="141" s="1"/>
  <c r="P11" i="141"/>
  <c r="R11" i="141" s="1"/>
  <c r="U12" i="141"/>
  <c r="X12" i="141" s="1"/>
  <c r="Y12" i="141" s="1"/>
  <c r="Z12" i="141" s="1"/>
  <c r="Q12" i="141" s="1"/>
  <c r="P12" i="141"/>
  <c r="R12" i="141" s="1"/>
  <c r="F13" i="141"/>
  <c r="F14" i="141"/>
  <c r="F15" i="141"/>
  <c r="I39" i="141" s="1"/>
  <c r="F17" i="141"/>
  <c r="I41" i="141" s="1"/>
  <c r="F18" i="141"/>
  <c r="I42" i="141" s="1"/>
  <c r="F19" i="141"/>
  <c r="I43" i="141" s="1"/>
  <c r="F21" i="141"/>
  <c r="I45" i="141" s="1"/>
  <c r="F22" i="141"/>
  <c r="I46" i="141" s="1"/>
  <c r="F23" i="141"/>
  <c r="I47" i="141" s="1"/>
  <c r="F12" i="141"/>
  <c r="I38" i="141" l="1"/>
  <c r="F24" i="141"/>
  <c r="I48" i="141" s="1"/>
  <c r="F20" i="141"/>
  <c r="I44" i="141" s="1"/>
  <c r="F16" i="141"/>
  <c r="I40" i="141" s="1"/>
  <c r="F11" i="141"/>
  <c r="G12" i="141"/>
  <c r="G13" i="141" s="1"/>
  <c r="G14" i="141" s="1"/>
  <c r="G15" i="141" s="1"/>
  <c r="G16" i="141" s="1"/>
  <c r="G17" i="141" s="1"/>
  <c r="G18" i="141" s="1"/>
  <c r="G19" i="141" s="1"/>
  <c r="G20" i="141" s="1"/>
  <c r="G21" i="141" s="1"/>
  <c r="G22" i="141" s="1"/>
  <c r="G23" i="141" s="1"/>
  <c r="G24" i="141" s="1"/>
  <c r="F26" i="141" l="1"/>
  <c r="I50" i="141"/>
  <c r="I51" i="141" s="1"/>
  <c r="G25" i="141"/>
  <c r="S12" i="141"/>
  <c r="S11" i="141"/>
  <c r="S10" i="141"/>
  <c r="S9" i="141"/>
  <c r="S8" i="141"/>
  <c r="S7" i="141"/>
  <c r="S6" i="141"/>
  <c r="S5" i="141"/>
  <c r="S4" i="141"/>
  <c r="F31" i="141"/>
  <c r="T5" i="141" l="1"/>
  <c r="T9" i="141"/>
  <c r="T12" i="141"/>
  <c r="S13" i="141"/>
  <c r="T8" i="141" s="1"/>
  <c r="T4" i="141"/>
  <c r="T6" i="141"/>
  <c r="T10" i="141"/>
  <c r="T7" i="141"/>
  <c r="T11" i="141"/>
  <c r="W31" i="140"/>
  <c r="W30" i="140"/>
  <c r="W27" i="140"/>
  <c r="G100" i="156" s="1"/>
  <c r="W24" i="140"/>
  <c r="F100" i="156" s="1"/>
  <c r="W22" i="140"/>
  <c r="F36" i="140"/>
  <c r="G33" i="140"/>
  <c r="C27" i="140"/>
  <c r="E25" i="140"/>
  <c r="E24" i="140"/>
  <c r="E23" i="140"/>
  <c r="E22" i="140"/>
  <c r="E21" i="140"/>
  <c r="E20" i="140"/>
  <c r="E19" i="140"/>
  <c r="E18" i="140"/>
  <c r="E17" i="140"/>
  <c r="E16" i="140"/>
  <c r="E15" i="140"/>
  <c r="E14" i="140"/>
  <c r="E13" i="140"/>
  <c r="W12" i="140"/>
  <c r="V12" i="140"/>
  <c r="M12" i="140"/>
  <c r="N12" i="140" s="1"/>
  <c r="I12" i="140"/>
  <c r="E12" i="140"/>
  <c r="W11" i="140"/>
  <c r="V11" i="140"/>
  <c r="M11" i="140"/>
  <c r="N11" i="140" s="1"/>
  <c r="I11" i="140"/>
  <c r="E11" i="140"/>
  <c r="W10" i="140"/>
  <c r="V10" i="140"/>
  <c r="M10" i="140"/>
  <c r="N10" i="140" s="1"/>
  <c r="I10" i="140"/>
  <c r="W9" i="140"/>
  <c r="V9" i="140"/>
  <c r="M9" i="140"/>
  <c r="N9" i="140" s="1"/>
  <c r="I9" i="140"/>
  <c r="W8" i="140"/>
  <c r="V8" i="140"/>
  <c r="M8" i="140"/>
  <c r="N8" i="140" s="1"/>
  <c r="I8" i="140"/>
  <c r="W7" i="140"/>
  <c r="V7" i="140"/>
  <c r="M7" i="140"/>
  <c r="N7" i="140" s="1"/>
  <c r="I7" i="140"/>
  <c r="W6" i="140"/>
  <c r="V6" i="140"/>
  <c r="M6" i="140"/>
  <c r="N6" i="140" s="1"/>
  <c r="I6" i="140"/>
  <c r="AE5" i="140"/>
  <c r="W5" i="140"/>
  <c r="V5" i="140"/>
  <c r="M5" i="140"/>
  <c r="N5" i="140" s="1"/>
  <c r="I5" i="140"/>
  <c r="W4" i="140"/>
  <c r="V4" i="140"/>
  <c r="M4" i="140"/>
  <c r="N4" i="140" s="1"/>
  <c r="I4" i="140"/>
  <c r="J100" i="156" l="1"/>
  <c r="W33" i="140"/>
  <c r="E26" i="140"/>
  <c r="E27" i="140" s="1"/>
  <c r="F27" i="140" s="1"/>
  <c r="V36" i="140"/>
  <c r="X27" i="140"/>
  <c r="W32" i="140"/>
  <c r="U4" i="140"/>
  <c r="X4" i="140" s="1"/>
  <c r="Y4" i="140" s="1"/>
  <c r="Z4" i="140" s="1"/>
  <c r="Q4" i="140" s="1"/>
  <c r="P4" i="140"/>
  <c r="R4" i="140" s="1"/>
  <c r="U5" i="140"/>
  <c r="X5" i="140" s="1"/>
  <c r="Y5" i="140" s="1"/>
  <c r="Z5" i="140" s="1"/>
  <c r="Q5" i="140" s="1"/>
  <c r="P5" i="140"/>
  <c r="R5" i="140" s="1"/>
  <c r="U6" i="140"/>
  <c r="X6" i="140" s="1"/>
  <c r="Y6" i="140" s="1"/>
  <c r="Z6" i="140" s="1"/>
  <c r="Q6" i="140" s="1"/>
  <c r="P6" i="140"/>
  <c r="R6" i="140" s="1"/>
  <c r="U7" i="140"/>
  <c r="X7" i="140" s="1"/>
  <c r="Y7" i="140" s="1"/>
  <c r="Z7" i="140" s="1"/>
  <c r="Q7" i="140" s="1"/>
  <c r="P7" i="140"/>
  <c r="R7" i="140" s="1"/>
  <c r="U8" i="140"/>
  <c r="X8" i="140" s="1"/>
  <c r="Y8" i="140" s="1"/>
  <c r="Z8" i="140" s="1"/>
  <c r="Q8" i="140" s="1"/>
  <c r="P8" i="140"/>
  <c r="R8" i="140" s="1"/>
  <c r="U9" i="140"/>
  <c r="X9" i="140" s="1"/>
  <c r="Y9" i="140" s="1"/>
  <c r="Z9" i="140" s="1"/>
  <c r="Q9" i="140" s="1"/>
  <c r="P9" i="140"/>
  <c r="R9" i="140" s="1"/>
  <c r="U10" i="140"/>
  <c r="X10" i="140" s="1"/>
  <c r="Y10" i="140" s="1"/>
  <c r="Z10" i="140" s="1"/>
  <c r="Q10" i="140" s="1"/>
  <c r="P10" i="140"/>
  <c r="R10" i="140" s="1"/>
  <c r="U11" i="140"/>
  <c r="X11" i="140" s="1"/>
  <c r="Y11" i="140" s="1"/>
  <c r="Z11" i="140" s="1"/>
  <c r="Q11" i="140" s="1"/>
  <c r="P11" i="140"/>
  <c r="R11" i="140" s="1"/>
  <c r="U12" i="140"/>
  <c r="X12" i="140" s="1"/>
  <c r="Y12" i="140" s="1"/>
  <c r="Z12" i="140" s="1"/>
  <c r="Q12" i="140" s="1"/>
  <c r="P12" i="140"/>
  <c r="R12" i="140" s="1"/>
  <c r="F13" i="140"/>
  <c r="F15" i="140"/>
  <c r="F17" i="140"/>
  <c r="F19" i="140"/>
  <c r="F21" i="140"/>
  <c r="F23" i="140"/>
  <c r="F25" i="140"/>
  <c r="F24" i="140" l="1"/>
  <c r="F20" i="140"/>
  <c r="F16" i="140"/>
  <c r="F11" i="140"/>
  <c r="F12" i="140"/>
  <c r="F22" i="140"/>
  <c r="F18" i="140"/>
  <c r="F14" i="140"/>
  <c r="F26" i="140" s="1"/>
  <c r="G12" i="140"/>
  <c r="G13" i="140" s="1"/>
  <c r="G14" i="140" s="1"/>
  <c r="G15" i="140" s="1"/>
  <c r="G16" i="140" s="1"/>
  <c r="G17" i="140" s="1"/>
  <c r="G18" i="140" s="1"/>
  <c r="G19" i="140" s="1"/>
  <c r="G20" i="140" s="1"/>
  <c r="G21" i="140" s="1"/>
  <c r="G22" i="140" s="1"/>
  <c r="G23" i="140" s="1"/>
  <c r="G24" i="140" s="1"/>
  <c r="G25" i="140" l="1"/>
  <c r="S12" i="140"/>
  <c r="S11" i="140"/>
  <c r="S10" i="140"/>
  <c r="S9" i="140"/>
  <c r="S8" i="140"/>
  <c r="S7" i="140"/>
  <c r="S6" i="140"/>
  <c r="S5" i="140"/>
  <c r="S4" i="140"/>
  <c r="F31" i="140"/>
  <c r="W31" i="139" l="1"/>
  <c r="W30" i="139"/>
  <c r="W27" i="139"/>
  <c r="W24" i="139"/>
  <c r="F69" i="156" s="1"/>
  <c r="J69" i="156" s="1"/>
  <c r="W22" i="139"/>
  <c r="F36" i="139"/>
  <c r="G33" i="139"/>
  <c r="C27" i="139"/>
  <c r="E25" i="139"/>
  <c r="E24" i="139"/>
  <c r="E23" i="139"/>
  <c r="E22" i="139"/>
  <c r="E21" i="139"/>
  <c r="E20" i="139"/>
  <c r="E19" i="139"/>
  <c r="E18" i="139"/>
  <c r="E17" i="139"/>
  <c r="E16" i="139"/>
  <c r="E15" i="139"/>
  <c r="E14" i="139"/>
  <c r="E13" i="139"/>
  <c r="W12" i="139"/>
  <c r="V12" i="139"/>
  <c r="M12" i="139"/>
  <c r="I12" i="139"/>
  <c r="E12" i="139"/>
  <c r="W11" i="139"/>
  <c r="V11" i="139"/>
  <c r="M11" i="139"/>
  <c r="I11" i="139"/>
  <c r="E11" i="139"/>
  <c r="W10" i="139"/>
  <c r="V10" i="139"/>
  <c r="M10" i="139"/>
  <c r="I10" i="139"/>
  <c r="W9" i="139"/>
  <c r="V9" i="139"/>
  <c r="M9" i="139"/>
  <c r="I9" i="139"/>
  <c r="W8" i="139"/>
  <c r="V8" i="139"/>
  <c r="M8" i="139"/>
  <c r="I8" i="139"/>
  <c r="W7" i="139"/>
  <c r="V7" i="139"/>
  <c r="M7" i="139"/>
  <c r="I7" i="139"/>
  <c r="W6" i="139"/>
  <c r="V6" i="139"/>
  <c r="M6" i="139"/>
  <c r="I6" i="139"/>
  <c r="AE5" i="139"/>
  <c r="W5" i="139"/>
  <c r="V5" i="139"/>
  <c r="M5" i="139"/>
  <c r="N5" i="139" s="1"/>
  <c r="I5" i="139"/>
  <c r="W4" i="139"/>
  <c r="V4" i="139"/>
  <c r="M4" i="139"/>
  <c r="N4" i="139" s="1"/>
  <c r="I4" i="139"/>
  <c r="N6" i="139" l="1"/>
  <c r="N7" i="139"/>
  <c r="N8" i="139"/>
  <c r="N9" i="139"/>
  <c r="P9" i="139" s="1"/>
  <c r="R9" i="139" s="1"/>
  <c r="N10" i="139"/>
  <c r="E26" i="139"/>
  <c r="E27" i="139" s="1"/>
  <c r="F27" i="139" s="1"/>
  <c r="F11" i="139"/>
  <c r="N11" i="139"/>
  <c r="P11" i="139" s="1"/>
  <c r="R11" i="139" s="1"/>
  <c r="W33" i="139"/>
  <c r="N12" i="139"/>
  <c r="V36" i="139"/>
  <c r="X27" i="139"/>
  <c r="W32" i="139"/>
  <c r="U4" i="139"/>
  <c r="X4" i="139" s="1"/>
  <c r="Y4" i="139" s="1"/>
  <c r="Z4" i="139" s="1"/>
  <c r="Q4" i="139" s="1"/>
  <c r="P4" i="139"/>
  <c r="R4" i="139" s="1"/>
  <c r="U5" i="139"/>
  <c r="X5" i="139" s="1"/>
  <c r="Y5" i="139" s="1"/>
  <c r="Z5" i="139" s="1"/>
  <c r="Q5" i="139" s="1"/>
  <c r="P5" i="139"/>
  <c r="R5" i="139" s="1"/>
  <c r="U6" i="139"/>
  <c r="X6" i="139" s="1"/>
  <c r="Y6" i="139" s="1"/>
  <c r="Z6" i="139" s="1"/>
  <c r="Q6" i="139" s="1"/>
  <c r="P6" i="139"/>
  <c r="R6" i="139" s="1"/>
  <c r="U7" i="139"/>
  <c r="X7" i="139" s="1"/>
  <c r="Y7" i="139" s="1"/>
  <c r="Z7" i="139" s="1"/>
  <c r="Q7" i="139" s="1"/>
  <c r="P7" i="139"/>
  <c r="R7" i="139" s="1"/>
  <c r="U8" i="139"/>
  <c r="X8" i="139" s="1"/>
  <c r="Y8" i="139" s="1"/>
  <c r="Z8" i="139" s="1"/>
  <c r="Q8" i="139" s="1"/>
  <c r="P8" i="139"/>
  <c r="R8" i="139" s="1"/>
  <c r="U9" i="139"/>
  <c r="X9" i="139" s="1"/>
  <c r="Y9" i="139" s="1"/>
  <c r="Z9" i="139" s="1"/>
  <c r="Q9" i="139" s="1"/>
  <c r="U10" i="139"/>
  <c r="X10" i="139" s="1"/>
  <c r="Y10" i="139" s="1"/>
  <c r="Z10" i="139" s="1"/>
  <c r="Q10" i="139" s="1"/>
  <c r="P10" i="139"/>
  <c r="R10" i="139" s="1"/>
  <c r="U11" i="139"/>
  <c r="X11" i="139" s="1"/>
  <c r="Y11" i="139" s="1"/>
  <c r="Z11" i="139" s="1"/>
  <c r="Q11" i="139" s="1"/>
  <c r="U12" i="139"/>
  <c r="X12" i="139" s="1"/>
  <c r="Y12" i="139" s="1"/>
  <c r="Z12" i="139" s="1"/>
  <c r="Q12" i="139" s="1"/>
  <c r="P12" i="139"/>
  <c r="R12" i="139" s="1"/>
  <c r="F13" i="139"/>
  <c r="F14" i="139"/>
  <c r="F15" i="139"/>
  <c r="F16" i="139"/>
  <c r="F17" i="139"/>
  <c r="F18" i="139"/>
  <c r="F19" i="139"/>
  <c r="F20" i="139"/>
  <c r="F21" i="139"/>
  <c r="F22" i="139"/>
  <c r="F23" i="139"/>
  <c r="F24" i="139"/>
  <c r="F25" i="139"/>
  <c r="F12" i="139"/>
  <c r="F26" i="139" l="1"/>
  <c r="G12" i="139"/>
  <c r="G13" i="139" s="1"/>
  <c r="G14" i="139" s="1"/>
  <c r="G15" i="139" s="1"/>
  <c r="G16" i="139" s="1"/>
  <c r="G17" i="139" s="1"/>
  <c r="G18" i="139" s="1"/>
  <c r="G19" i="139" s="1"/>
  <c r="G20" i="139" s="1"/>
  <c r="G21" i="139" s="1"/>
  <c r="G22" i="139" s="1"/>
  <c r="G23" i="139" s="1"/>
  <c r="G24" i="139" s="1"/>
  <c r="G25" i="139" l="1"/>
  <c r="S12" i="139"/>
  <c r="S11" i="139"/>
  <c r="S10" i="139"/>
  <c r="S9" i="139"/>
  <c r="S8" i="139"/>
  <c r="S7" i="139"/>
  <c r="S6" i="139"/>
  <c r="S5" i="139"/>
  <c r="S4" i="139"/>
  <c r="F31" i="139"/>
  <c r="W31" i="138" l="1"/>
  <c r="W30" i="138"/>
  <c r="W27" i="138"/>
  <c r="W24" i="138"/>
  <c r="W22" i="138"/>
  <c r="F86" i="156" l="1"/>
  <c r="J86" i="156" s="1"/>
  <c r="V36" i="138"/>
  <c r="W33" i="138"/>
  <c r="X27" i="138"/>
  <c r="W32" i="138"/>
  <c r="F36" i="138"/>
  <c r="G33" i="138"/>
  <c r="C27" i="138"/>
  <c r="E25" i="138"/>
  <c r="E24" i="138"/>
  <c r="E23" i="138"/>
  <c r="E22" i="138"/>
  <c r="E21" i="138"/>
  <c r="E20" i="138"/>
  <c r="E19" i="138"/>
  <c r="E18" i="138"/>
  <c r="E17" i="138"/>
  <c r="E16" i="138"/>
  <c r="E15" i="138"/>
  <c r="E14" i="138"/>
  <c r="M13" i="138"/>
  <c r="N13" i="138" s="1"/>
  <c r="U13" i="138" s="1"/>
  <c r="X13" i="138" s="1"/>
  <c r="E13" i="138"/>
  <c r="W12" i="138"/>
  <c r="V12" i="138"/>
  <c r="M12" i="138"/>
  <c r="N12" i="138" s="1"/>
  <c r="I12" i="138"/>
  <c r="E12" i="138"/>
  <c r="W11" i="138"/>
  <c r="V11" i="138"/>
  <c r="M11" i="138"/>
  <c r="N11" i="138" s="1"/>
  <c r="I11" i="138"/>
  <c r="E11" i="138"/>
  <c r="W10" i="138"/>
  <c r="V10" i="138"/>
  <c r="M10" i="138"/>
  <c r="N10" i="138" s="1"/>
  <c r="I10" i="138"/>
  <c r="W9" i="138"/>
  <c r="V9" i="138"/>
  <c r="M9" i="138"/>
  <c r="N9" i="138" s="1"/>
  <c r="I9" i="138"/>
  <c r="W8" i="138"/>
  <c r="V8" i="138"/>
  <c r="M8" i="138"/>
  <c r="N8" i="138" s="1"/>
  <c r="I8" i="138"/>
  <c r="W7" i="138"/>
  <c r="V7" i="138"/>
  <c r="M7" i="138"/>
  <c r="N7" i="138" s="1"/>
  <c r="I7" i="138"/>
  <c r="W6" i="138"/>
  <c r="V6" i="138"/>
  <c r="M6" i="138"/>
  <c r="N6" i="138" s="1"/>
  <c r="I6" i="138"/>
  <c r="AE5" i="138"/>
  <c r="W5" i="138"/>
  <c r="V5" i="138"/>
  <c r="M5" i="138"/>
  <c r="N5" i="138" s="1"/>
  <c r="I5" i="138"/>
  <c r="W4" i="138"/>
  <c r="V4" i="138"/>
  <c r="M4" i="138"/>
  <c r="N4" i="138" s="1"/>
  <c r="I4" i="138"/>
  <c r="W31" i="137"/>
  <c r="W30" i="137"/>
  <c r="W27" i="137"/>
  <c r="W24" i="137"/>
  <c r="W22" i="137"/>
  <c r="F36" i="137"/>
  <c r="G33" i="137"/>
  <c r="C27" i="137"/>
  <c r="E25" i="137"/>
  <c r="E24" i="137"/>
  <c r="E23" i="137"/>
  <c r="E22" i="137"/>
  <c r="E21" i="137"/>
  <c r="E20" i="137"/>
  <c r="E19" i="137"/>
  <c r="E18" i="137"/>
  <c r="E17" i="137"/>
  <c r="E16" i="137"/>
  <c r="E15" i="137"/>
  <c r="E14" i="137"/>
  <c r="E13" i="137"/>
  <c r="W12" i="137"/>
  <c r="V12" i="137"/>
  <c r="M12" i="137"/>
  <c r="I12" i="137"/>
  <c r="E12" i="137"/>
  <c r="W11" i="137"/>
  <c r="V11" i="137"/>
  <c r="M11" i="137"/>
  <c r="I11" i="137"/>
  <c r="E11" i="137"/>
  <c r="W10" i="137"/>
  <c r="V10" i="137"/>
  <c r="M10" i="137"/>
  <c r="I10" i="137"/>
  <c r="W9" i="137"/>
  <c r="V9" i="137"/>
  <c r="M9" i="137"/>
  <c r="I9" i="137"/>
  <c r="W8" i="137"/>
  <c r="V8" i="137"/>
  <c r="M8" i="137"/>
  <c r="I8" i="137"/>
  <c r="W7" i="137"/>
  <c r="V7" i="137"/>
  <c r="M7" i="137"/>
  <c r="I7" i="137"/>
  <c r="W6" i="137"/>
  <c r="V6" i="137"/>
  <c r="M6" i="137"/>
  <c r="I6" i="137"/>
  <c r="AE5" i="137"/>
  <c r="W5" i="137"/>
  <c r="V5" i="137"/>
  <c r="M5" i="137"/>
  <c r="N5" i="137" s="1"/>
  <c r="I5" i="137"/>
  <c r="W4" i="137"/>
  <c r="V4" i="137"/>
  <c r="M4" i="137"/>
  <c r="N4" i="137" s="1"/>
  <c r="I4" i="137"/>
  <c r="N6" i="137" l="1"/>
  <c r="N7" i="137"/>
  <c r="N8" i="137"/>
  <c r="N9" i="137"/>
  <c r="U9" i="137" s="1"/>
  <c r="X9" i="137" s="1"/>
  <c r="Y9" i="137" s="1"/>
  <c r="Z9" i="137" s="1"/>
  <c r="Q9" i="137" s="1"/>
  <c r="N10" i="137"/>
  <c r="E26" i="137"/>
  <c r="E27" i="137" s="1"/>
  <c r="F27" i="137" s="1"/>
  <c r="Y13" i="138"/>
  <c r="N11" i="137"/>
  <c r="U11" i="137" s="1"/>
  <c r="X11" i="137" s="1"/>
  <c r="Y11" i="137" s="1"/>
  <c r="Z11" i="137" s="1"/>
  <c r="Q11" i="137" s="1"/>
  <c r="W33" i="137"/>
  <c r="N12" i="137"/>
  <c r="F93" i="156"/>
  <c r="J93" i="156" s="1"/>
  <c r="V36" i="137"/>
  <c r="E26" i="138"/>
  <c r="E27" i="138" s="1"/>
  <c r="F27" i="138" s="1"/>
  <c r="U4" i="138"/>
  <c r="X4" i="138" s="1"/>
  <c r="Y4" i="138" s="1"/>
  <c r="Z4" i="138" s="1"/>
  <c r="Q4" i="138" s="1"/>
  <c r="P4" i="138"/>
  <c r="R4" i="138" s="1"/>
  <c r="U5" i="138"/>
  <c r="X5" i="138" s="1"/>
  <c r="Y5" i="138" s="1"/>
  <c r="Z5" i="138" s="1"/>
  <c r="Q5" i="138" s="1"/>
  <c r="P5" i="138"/>
  <c r="R5" i="138" s="1"/>
  <c r="U6" i="138"/>
  <c r="X6" i="138" s="1"/>
  <c r="Y6" i="138" s="1"/>
  <c r="Z6" i="138" s="1"/>
  <c r="Q6" i="138" s="1"/>
  <c r="P6" i="138"/>
  <c r="R6" i="138" s="1"/>
  <c r="U7" i="138"/>
  <c r="X7" i="138" s="1"/>
  <c r="Y7" i="138" s="1"/>
  <c r="Z7" i="138" s="1"/>
  <c r="Q7" i="138" s="1"/>
  <c r="P7" i="138"/>
  <c r="R7" i="138" s="1"/>
  <c r="U8" i="138"/>
  <c r="X8" i="138" s="1"/>
  <c r="Y8" i="138" s="1"/>
  <c r="Z8" i="138" s="1"/>
  <c r="Q8" i="138" s="1"/>
  <c r="P8" i="138"/>
  <c r="R8" i="138" s="1"/>
  <c r="U9" i="138"/>
  <c r="X9" i="138" s="1"/>
  <c r="Y9" i="138" s="1"/>
  <c r="Z9" i="138" s="1"/>
  <c r="Q9" i="138" s="1"/>
  <c r="P9" i="138"/>
  <c r="R9" i="138" s="1"/>
  <c r="U10" i="138"/>
  <c r="X10" i="138" s="1"/>
  <c r="Y10" i="138" s="1"/>
  <c r="Z10" i="138" s="1"/>
  <c r="Q10" i="138" s="1"/>
  <c r="P10" i="138"/>
  <c r="R10" i="138" s="1"/>
  <c r="U11" i="138"/>
  <c r="X11" i="138" s="1"/>
  <c r="Y11" i="138" s="1"/>
  <c r="Z11" i="138" s="1"/>
  <c r="Q11" i="138" s="1"/>
  <c r="P11" i="138"/>
  <c r="R11" i="138" s="1"/>
  <c r="U12" i="138"/>
  <c r="X12" i="138" s="1"/>
  <c r="Y12" i="138" s="1"/>
  <c r="Z12" i="138" s="1"/>
  <c r="Q12" i="138" s="1"/>
  <c r="P12" i="138"/>
  <c r="R12" i="138" s="1"/>
  <c r="F14" i="138"/>
  <c r="F18" i="138"/>
  <c r="I42" i="138" s="1"/>
  <c r="F22" i="138"/>
  <c r="I46" i="138" s="1"/>
  <c r="F12" i="138"/>
  <c r="X27" i="137"/>
  <c r="W32" i="137"/>
  <c r="U4" i="137"/>
  <c r="X4" i="137" s="1"/>
  <c r="Y4" i="137" s="1"/>
  <c r="Z4" i="137" s="1"/>
  <c r="Q4" i="137" s="1"/>
  <c r="P4" i="137"/>
  <c r="R4" i="137" s="1"/>
  <c r="U5" i="137"/>
  <c r="X5" i="137" s="1"/>
  <c r="Y5" i="137" s="1"/>
  <c r="Z5" i="137" s="1"/>
  <c r="Q5" i="137" s="1"/>
  <c r="P5" i="137"/>
  <c r="R5" i="137" s="1"/>
  <c r="U6" i="137"/>
  <c r="X6" i="137" s="1"/>
  <c r="Y6" i="137" s="1"/>
  <c r="Z6" i="137" s="1"/>
  <c r="Q6" i="137" s="1"/>
  <c r="P6" i="137"/>
  <c r="R6" i="137" s="1"/>
  <c r="U7" i="137"/>
  <c r="X7" i="137" s="1"/>
  <c r="Y7" i="137" s="1"/>
  <c r="Z7" i="137" s="1"/>
  <c r="Q7" i="137" s="1"/>
  <c r="P7" i="137"/>
  <c r="R7" i="137" s="1"/>
  <c r="U8" i="137"/>
  <c r="X8" i="137" s="1"/>
  <c r="Y8" i="137" s="1"/>
  <c r="Z8" i="137" s="1"/>
  <c r="Q8" i="137" s="1"/>
  <c r="P8" i="137"/>
  <c r="R8" i="137" s="1"/>
  <c r="U10" i="137"/>
  <c r="X10" i="137" s="1"/>
  <c r="Y10" i="137" s="1"/>
  <c r="Z10" i="137" s="1"/>
  <c r="Q10" i="137" s="1"/>
  <c r="P10" i="137"/>
  <c r="R10" i="137" s="1"/>
  <c r="U12" i="137"/>
  <c r="X12" i="137" s="1"/>
  <c r="Y12" i="137" s="1"/>
  <c r="Z12" i="137" s="1"/>
  <c r="Q12" i="137" s="1"/>
  <c r="P12" i="137"/>
  <c r="R12" i="137" s="1"/>
  <c r="F13" i="137"/>
  <c r="F14" i="137"/>
  <c r="F15" i="137"/>
  <c r="F16" i="137"/>
  <c r="F17" i="137"/>
  <c r="F18" i="137"/>
  <c r="F19" i="137"/>
  <c r="F20" i="137"/>
  <c r="F21" i="137"/>
  <c r="F22" i="137"/>
  <c r="F23" i="137"/>
  <c r="F24" i="137"/>
  <c r="F25" i="137"/>
  <c r="F12" i="137"/>
  <c r="F11" i="138" l="1"/>
  <c r="F25" i="138"/>
  <c r="I49" i="138" s="1"/>
  <c r="F21" i="138"/>
  <c r="I45" i="138" s="1"/>
  <c r="F17" i="138"/>
  <c r="I41" i="138" s="1"/>
  <c r="F13" i="138"/>
  <c r="I38" i="138" s="1"/>
  <c r="I50" i="138" s="1"/>
  <c r="I51" i="138" s="1"/>
  <c r="P11" i="137"/>
  <c r="R11" i="137" s="1"/>
  <c r="P9" i="137"/>
  <c r="R9" i="137" s="1"/>
  <c r="F24" i="138"/>
  <c r="I48" i="138" s="1"/>
  <c r="F20" i="138"/>
  <c r="I44" i="138" s="1"/>
  <c r="F16" i="138"/>
  <c r="I40" i="138" s="1"/>
  <c r="F23" i="138"/>
  <c r="I47" i="138" s="1"/>
  <c r="F19" i="138"/>
  <c r="I43" i="138" s="1"/>
  <c r="F15" i="138"/>
  <c r="I39" i="138" s="1"/>
  <c r="F11" i="137"/>
  <c r="F26" i="138"/>
  <c r="G12" i="138"/>
  <c r="G13" i="138" s="1"/>
  <c r="G14" i="138" s="1"/>
  <c r="G15" i="138" s="1"/>
  <c r="G16" i="138" s="1"/>
  <c r="G17" i="138" s="1"/>
  <c r="G18" i="138" s="1"/>
  <c r="G19" i="138" s="1"/>
  <c r="G20" i="138" s="1"/>
  <c r="G21" i="138" s="1"/>
  <c r="G22" i="138" s="1"/>
  <c r="F26" i="137"/>
  <c r="G12" i="137"/>
  <c r="G13" i="137" s="1"/>
  <c r="G14" i="137" s="1"/>
  <c r="G15" i="137" s="1"/>
  <c r="G16" i="137" s="1"/>
  <c r="G17" i="137" s="1"/>
  <c r="G18" i="137" s="1"/>
  <c r="G19" i="137" s="1"/>
  <c r="G20" i="137" s="1"/>
  <c r="G21" i="137" s="1"/>
  <c r="G22" i="137" s="1"/>
  <c r="G23" i="137" s="1"/>
  <c r="G24" i="137" s="1"/>
  <c r="G23" i="138" l="1"/>
  <c r="G24" i="138" s="1"/>
  <c r="G25" i="138"/>
  <c r="S12" i="138"/>
  <c r="S11" i="138"/>
  <c r="S10" i="138"/>
  <c r="S9" i="138"/>
  <c r="S8" i="138"/>
  <c r="S7" i="138"/>
  <c r="S6" i="138"/>
  <c r="S5" i="138"/>
  <c r="S4" i="138"/>
  <c r="F31" i="138"/>
  <c r="G25" i="137"/>
  <c r="S12" i="137"/>
  <c r="S11" i="137"/>
  <c r="S10" i="137"/>
  <c r="S9" i="137"/>
  <c r="S8" i="137"/>
  <c r="S7" i="137"/>
  <c r="S6" i="137"/>
  <c r="S5" i="137"/>
  <c r="S4" i="137"/>
  <c r="F31" i="137"/>
  <c r="S13" i="138" l="1"/>
  <c r="T7" i="138" s="1"/>
  <c r="T10" i="137"/>
  <c r="T6" i="137"/>
  <c r="S13" i="137"/>
  <c r="T8" i="137" s="1"/>
  <c r="T4" i="137"/>
  <c r="T12" i="137"/>
  <c r="T9" i="137"/>
  <c r="T10" i="138"/>
  <c r="W31" i="135"/>
  <c r="W30" i="135"/>
  <c r="W27" i="135"/>
  <c r="W24" i="135"/>
  <c r="W22" i="135"/>
  <c r="F36" i="135"/>
  <c r="G33" i="135"/>
  <c r="C27" i="135"/>
  <c r="E25" i="135"/>
  <c r="E24" i="135"/>
  <c r="E23" i="135"/>
  <c r="E22" i="135"/>
  <c r="E21" i="135"/>
  <c r="E20" i="135"/>
  <c r="E19" i="135"/>
  <c r="E18" i="135"/>
  <c r="E17" i="135"/>
  <c r="E16" i="135"/>
  <c r="E15" i="135"/>
  <c r="E14" i="135"/>
  <c r="E13" i="135"/>
  <c r="W12" i="135"/>
  <c r="V12" i="135"/>
  <c r="M12" i="135"/>
  <c r="I12" i="135"/>
  <c r="E12" i="135"/>
  <c r="W11" i="135"/>
  <c r="V11" i="135"/>
  <c r="M11" i="135"/>
  <c r="I11" i="135"/>
  <c r="E11" i="135"/>
  <c r="W10" i="135"/>
  <c r="V10" i="135"/>
  <c r="M10" i="135"/>
  <c r="I10" i="135"/>
  <c r="W9" i="135"/>
  <c r="V9" i="135"/>
  <c r="M9" i="135"/>
  <c r="I9" i="135"/>
  <c r="W8" i="135"/>
  <c r="V8" i="135"/>
  <c r="M8" i="135"/>
  <c r="I8" i="135"/>
  <c r="W7" i="135"/>
  <c r="V7" i="135"/>
  <c r="M7" i="135"/>
  <c r="I7" i="135"/>
  <c r="W6" i="135"/>
  <c r="V6" i="135"/>
  <c r="M6" i="135"/>
  <c r="I6" i="135"/>
  <c r="AE5" i="135"/>
  <c r="W5" i="135"/>
  <c r="V5" i="135"/>
  <c r="M5" i="135"/>
  <c r="N5" i="135" s="1"/>
  <c r="I5" i="135"/>
  <c r="W4" i="135"/>
  <c r="V4" i="135"/>
  <c r="M4" i="135"/>
  <c r="N4" i="135" s="1"/>
  <c r="I4" i="135"/>
  <c r="N6" i="135" l="1"/>
  <c r="N7" i="135"/>
  <c r="N8" i="135"/>
  <c r="U8" i="135" s="1"/>
  <c r="X8" i="135" s="1"/>
  <c r="Y8" i="135" s="1"/>
  <c r="Z8" i="135" s="1"/>
  <c r="Q8" i="135" s="1"/>
  <c r="N9" i="135"/>
  <c r="N10" i="135"/>
  <c r="E26" i="135"/>
  <c r="E27" i="135" s="1"/>
  <c r="F27" i="135" s="1"/>
  <c r="T6" i="138"/>
  <c r="T9" i="138"/>
  <c r="T12" i="138"/>
  <c r="T11" i="137"/>
  <c r="N11" i="135"/>
  <c r="U11" i="135" s="1"/>
  <c r="X11" i="135" s="1"/>
  <c r="Y11" i="135" s="1"/>
  <c r="Z11" i="135" s="1"/>
  <c r="Q11" i="135" s="1"/>
  <c r="W33" i="135"/>
  <c r="T5" i="138"/>
  <c r="T8" i="138"/>
  <c r="T7" i="137"/>
  <c r="N12" i="135"/>
  <c r="V36" i="135"/>
  <c r="F53" i="156"/>
  <c r="J53" i="156" s="1"/>
  <c r="T5" i="137"/>
  <c r="T11" i="138"/>
  <c r="T4" i="138"/>
  <c r="X27" i="135"/>
  <c r="W32" i="135"/>
  <c r="U4" i="135"/>
  <c r="X4" i="135" s="1"/>
  <c r="Y4" i="135" s="1"/>
  <c r="Z4" i="135" s="1"/>
  <c r="Q4" i="135" s="1"/>
  <c r="P4" i="135"/>
  <c r="R4" i="135" s="1"/>
  <c r="U5" i="135"/>
  <c r="X5" i="135" s="1"/>
  <c r="Y5" i="135" s="1"/>
  <c r="Z5" i="135" s="1"/>
  <c r="Q5" i="135" s="1"/>
  <c r="P5" i="135"/>
  <c r="R5" i="135" s="1"/>
  <c r="U6" i="135"/>
  <c r="X6" i="135" s="1"/>
  <c r="Y6" i="135" s="1"/>
  <c r="Z6" i="135" s="1"/>
  <c r="Q6" i="135" s="1"/>
  <c r="P6" i="135"/>
  <c r="R6" i="135" s="1"/>
  <c r="U7" i="135"/>
  <c r="X7" i="135" s="1"/>
  <c r="Y7" i="135" s="1"/>
  <c r="Z7" i="135" s="1"/>
  <c r="Q7" i="135" s="1"/>
  <c r="P7" i="135"/>
  <c r="R7" i="135" s="1"/>
  <c r="P8" i="135"/>
  <c r="R8" i="135" s="1"/>
  <c r="U9" i="135"/>
  <c r="X9" i="135" s="1"/>
  <c r="Y9" i="135" s="1"/>
  <c r="Z9" i="135" s="1"/>
  <c r="Q9" i="135" s="1"/>
  <c r="P9" i="135"/>
  <c r="R9" i="135" s="1"/>
  <c r="U10" i="135"/>
  <c r="X10" i="135" s="1"/>
  <c r="Y10" i="135" s="1"/>
  <c r="Z10" i="135" s="1"/>
  <c r="Q10" i="135" s="1"/>
  <c r="P10" i="135"/>
  <c r="R10" i="135" s="1"/>
  <c r="U12" i="135"/>
  <c r="X12" i="135" s="1"/>
  <c r="Y12" i="135" s="1"/>
  <c r="Z12" i="135" s="1"/>
  <c r="Q12" i="135" s="1"/>
  <c r="P12" i="135"/>
  <c r="R12" i="135" s="1"/>
  <c r="F13" i="135"/>
  <c r="F14" i="135"/>
  <c r="F15" i="135"/>
  <c r="F16" i="135"/>
  <c r="F17" i="135"/>
  <c r="F18" i="135"/>
  <c r="F19" i="135"/>
  <c r="F20" i="135"/>
  <c r="F21" i="135"/>
  <c r="F22" i="135"/>
  <c r="F23" i="135"/>
  <c r="F24" i="135"/>
  <c r="F25" i="135"/>
  <c r="F12" i="135"/>
  <c r="P11" i="135" l="1"/>
  <c r="R11" i="135" s="1"/>
  <c r="F11" i="135"/>
  <c r="F26" i="135"/>
  <c r="G12" i="135"/>
  <c r="G13" i="135" s="1"/>
  <c r="G14" i="135" s="1"/>
  <c r="G15" i="135" s="1"/>
  <c r="G16" i="135" s="1"/>
  <c r="G17" i="135" s="1"/>
  <c r="G18" i="135" s="1"/>
  <c r="G19" i="135" s="1"/>
  <c r="G20" i="135" s="1"/>
  <c r="G21" i="135" s="1"/>
  <c r="G22" i="135" s="1"/>
  <c r="G23" i="135" s="1"/>
  <c r="G24" i="135" s="1"/>
  <c r="G25" i="135" l="1"/>
  <c r="S12" i="135"/>
  <c r="S11" i="135"/>
  <c r="S10" i="135"/>
  <c r="S9" i="135"/>
  <c r="S8" i="135"/>
  <c r="S7" i="135"/>
  <c r="S6" i="135"/>
  <c r="S5" i="135"/>
  <c r="S4" i="135"/>
  <c r="F31" i="135"/>
  <c r="S13" i="135" l="1"/>
  <c r="T12" i="135" s="1"/>
  <c r="T5" i="135"/>
  <c r="W31" i="56"/>
  <c r="W30" i="56"/>
  <c r="W27" i="56"/>
  <c r="W24" i="56"/>
  <c r="W22" i="56"/>
  <c r="T10" i="135" l="1"/>
  <c r="T7" i="135"/>
  <c r="T8" i="135"/>
  <c r="T6" i="135"/>
  <c r="W33" i="56"/>
  <c r="V36" i="56"/>
  <c r="F105" i="156"/>
  <c r="J105" i="156" s="1"/>
  <c r="T9" i="135"/>
  <c r="T4" i="135"/>
  <c r="T11" i="135"/>
  <c r="X27" i="56"/>
  <c r="W32" i="56"/>
  <c r="W31" i="133" l="1"/>
  <c r="W30" i="133"/>
  <c r="W27" i="133"/>
  <c r="W24" i="133"/>
  <c r="W22" i="133"/>
  <c r="F36" i="133"/>
  <c r="G33" i="133"/>
  <c r="C27" i="133"/>
  <c r="E25" i="133"/>
  <c r="E24" i="133"/>
  <c r="E23" i="133"/>
  <c r="E22" i="133"/>
  <c r="E21" i="133"/>
  <c r="E20" i="133"/>
  <c r="E19" i="133"/>
  <c r="E18" i="133"/>
  <c r="E17" i="133"/>
  <c r="E16" i="133"/>
  <c r="E15" i="133"/>
  <c r="E14" i="133"/>
  <c r="E13" i="133"/>
  <c r="W12" i="133"/>
  <c r="V12" i="133"/>
  <c r="M12" i="133"/>
  <c r="N12" i="133" s="1"/>
  <c r="I12" i="133"/>
  <c r="E12" i="133"/>
  <c r="W11" i="133"/>
  <c r="V11" i="133"/>
  <c r="M11" i="133"/>
  <c r="N11" i="133" s="1"/>
  <c r="I11" i="133"/>
  <c r="E11" i="133"/>
  <c r="W10" i="133"/>
  <c r="V10" i="133"/>
  <c r="M10" i="133"/>
  <c r="N10" i="133" s="1"/>
  <c r="I10" i="133"/>
  <c r="W9" i="133"/>
  <c r="V9" i="133"/>
  <c r="M9" i="133"/>
  <c r="N9" i="133" s="1"/>
  <c r="I9" i="133"/>
  <c r="W8" i="133"/>
  <c r="V8" i="133"/>
  <c r="M8" i="133"/>
  <c r="N8" i="133" s="1"/>
  <c r="I8" i="133"/>
  <c r="W7" i="133"/>
  <c r="V7" i="133"/>
  <c r="M7" i="133"/>
  <c r="N7" i="133" s="1"/>
  <c r="I7" i="133"/>
  <c r="W6" i="133"/>
  <c r="V6" i="133"/>
  <c r="M6" i="133"/>
  <c r="N6" i="133" s="1"/>
  <c r="I6" i="133"/>
  <c r="AE5" i="133"/>
  <c r="W5" i="133"/>
  <c r="V5" i="133"/>
  <c r="M5" i="133"/>
  <c r="N5" i="133" s="1"/>
  <c r="I5" i="133"/>
  <c r="W4" i="133"/>
  <c r="V4" i="133"/>
  <c r="M4" i="133"/>
  <c r="N4" i="133" s="1"/>
  <c r="I4" i="133"/>
  <c r="F114" i="156" l="1"/>
  <c r="J114" i="156" s="1"/>
  <c r="V36" i="133"/>
  <c r="F11" i="133"/>
  <c r="E26" i="133"/>
  <c r="E27" i="133" s="1"/>
  <c r="F27" i="133" s="1"/>
  <c r="W33" i="133"/>
  <c r="X27" i="133"/>
  <c r="W32" i="133"/>
  <c r="U4" i="133"/>
  <c r="X4" i="133" s="1"/>
  <c r="Y4" i="133" s="1"/>
  <c r="Z4" i="133" s="1"/>
  <c r="Q4" i="133" s="1"/>
  <c r="P4" i="133"/>
  <c r="R4" i="133" s="1"/>
  <c r="U5" i="133"/>
  <c r="X5" i="133" s="1"/>
  <c r="Y5" i="133" s="1"/>
  <c r="Z5" i="133" s="1"/>
  <c r="Q5" i="133" s="1"/>
  <c r="P5" i="133"/>
  <c r="R5" i="133" s="1"/>
  <c r="U6" i="133"/>
  <c r="X6" i="133" s="1"/>
  <c r="Y6" i="133" s="1"/>
  <c r="Z6" i="133" s="1"/>
  <c r="Q6" i="133" s="1"/>
  <c r="P6" i="133"/>
  <c r="R6" i="133" s="1"/>
  <c r="U7" i="133"/>
  <c r="X7" i="133" s="1"/>
  <c r="Y7" i="133" s="1"/>
  <c r="Z7" i="133" s="1"/>
  <c r="Q7" i="133" s="1"/>
  <c r="P7" i="133"/>
  <c r="R7" i="133" s="1"/>
  <c r="U8" i="133"/>
  <c r="X8" i="133" s="1"/>
  <c r="Y8" i="133" s="1"/>
  <c r="Z8" i="133" s="1"/>
  <c r="Q8" i="133" s="1"/>
  <c r="P8" i="133"/>
  <c r="R8" i="133" s="1"/>
  <c r="U9" i="133"/>
  <c r="X9" i="133" s="1"/>
  <c r="Y9" i="133" s="1"/>
  <c r="Z9" i="133" s="1"/>
  <c r="Q9" i="133" s="1"/>
  <c r="P9" i="133"/>
  <c r="R9" i="133" s="1"/>
  <c r="U10" i="133"/>
  <c r="X10" i="133" s="1"/>
  <c r="Y10" i="133" s="1"/>
  <c r="Z10" i="133" s="1"/>
  <c r="Q10" i="133" s="1"/>
  <c r="P10" i="133"/>
  <c r="R10" i="133" s="1"/>
  <c r="U11" i="133"/>
  <c r="X11" i="133" s="1"/>
  <c r="Y11" i="133" s="1"/>
  <c r="Z11" i="133" s="1"/>
  <c r="Q11" i="133" s="1"/>
  <c r="P11" i="133"/>
  <c r="R11" i="133" s="1"/>
  <c r="U12" i="133"/>
  <c r="X12" i="133" s="1"/>
  <c r="Y12" i="133" s="1"/>
  <c r="Z12" i="133" s="1"/>
  <c r="Q12" i="133" s="1"/>
  <c r="P12" i="133"/>
  <c r="R12" i="133" s="1"/>
  <c r="F13" i="133"/>
  <c r="F14" i="133"/>
  <c r="F15" i="133"/>
  <c r="F16" i="133"/>
  <c r="F17" i="133"/>
  <c r="F18" i="133"/>
  <c r="F19" i="133"/>
  <c r="F20" i="133"/>
  <c r="F21" i="133"/>
  <c r="F22" i="133"/>
  <c r="F23" i="133"/>
  <c r="F24" i="133"/>
  <c r="F25" i="133"/>
  <c r="F12" i="133"/>
  <c r="F26" i="133" l="1"/>
  <c r="G12" i="133"/>
  <c r="G13" i="133" s="1"/>
  <c r="G14" i="133" s="1"/>
  <c r="G15" i="133" s="1"/>
  <c r="G16" i="133" s="1"/>
  <c r="G17" i="133" s="1"/>
  <c r="G18" i="133" s="1"/>
  <c r="G19" i="133" s="1"/>
  <c r="G20" i="133" s="1"/>
  <c r="G21" i="133" s="1"/>
  <c r="G22" i="133" s="1"/>
  <c r="G23" i="133" s="1"/>
  <c r="G24" i="133" s="1"/>
  <c r="G25" i="133" l="1"/>
  <c r="S12" i="133"/>
  <c r="S11" i="133"/>
  <c r="S10" i="133"/>
  <c r="S9" i="133"/>
  <c r="S8" i="133"/>
  <c r="S7" i="133"/>
  <c r="S6" i="133"/>
  <c r="S5" i="133"/>
  <c r="S4" i="133"/>
  <c r="F31" i="133"/>
  <c r="T6" i="133" l="1"/>
  <c r="S13" i="133"/>
  <c r="T11" i="133" s="1"/>
  <c r="T5" i="133"/>
  <c r="W31" i="132"/>
  <c r="W30" i="132"/>
  <c r="W27" i="132"/>
  <c r="W24" i="132"/>
  <c r="W22" i="132"/>
  <c r="F36" i="132"/>
  <c r="G33" i="132"/>
  <c r="C27" i="132"/>
  <c r="E25" i="132"/>
  <c r="E24" i="132"/>
  <c r="E23" i="132"/>
  <c r="E22" i="132"/>
  <c r="E21" i="132"/>
  <c r="E20" i="132"/>
  <c r="E19" i="132"/>
  <c r="E18" i="132"/>
  <c r="E17" i="132"/>
  <c r="E16" i="132"/>
  <c r="E15" i="132"/>
  <c r="E14" i="132"/>
  <c r="E13" i="132"/>
  <c r="W12" i="132"/>
  <c r="V12" i="132"/>
  <c r="M12" i="132"/>
  <c r="N12" i="132" s="1"/>
  <c r="I12" i="132"/>
  <c r="E12" i="132"/>
  <c r="W11" i="132"/>
  <c r="V11" i="132"/>
  <c r="M11" i="132"/>
  <c r="N11" i="132" s="1"/>
  <c r="I11" i="132"/>
  <c r="E11" i="132"/>
  <c r="W10" i="132"/>
  <c r="V10" i="132"/>
  <c r="M10" i="132"/>
  <c r="N10" i="132" s="1"/>
  <c r="I10" i="132"/>
  <c r="W9" i="132"/>
  <c r="V9" i="132"/>
  <c r="M9" i="132"/>
  <c r="N9" i="132" s="1"/>
  <c r="I9" i="132"/>
  <c r="W8" i="132"/>
  <c r="V8" i="132"/>
  <c r="M8" i="132"/>
  <c r="N8" i="132" s="1"/>
  <c r="I8" i="132"/>
  <c r="W7" i="132"/>
  <c r="V7" i="132"/>
  <c r="M7" i="132"/>
  <c r="N7" i="132" s="1"/>
  <c r="I7" i="132"/>
  <c r="W6" i="132"/>
  <c r="V6" i="132"/>
  <c r="M6" i="132"/>
  <c r="N6" i="132" s="1"/>
  <c r="I6" i="132"/>
  <c r="AE5" i="132"/>
  <c r="W5" i="132"/>
  <c r="V5" i="132"/>
  <c r="M5" i="132"/>
  <c r="N5" i="132" s="1"/>
  <c r="I5" i="132"/>
  <c r="W4" i="132"/>
  <c r="V4" i="132"/>
  <c r="M4" i="132"/>
  <c r="N4" i="132" s="1"/>
  <c r="I4" i="132"/>
  <c r="F75" i="156" l="1"/>
  <c r="J75" i="156" s="1"/>
  <c r="V36" i="132"/>
  <c r="T12" i="133"/>
  <c r="E26" i="132"/>
  <c r="E27" i="132" s="1"/>
  <c r="F27" i="132" s="1"/>
  <c r="T4" i="133"/>
  <c r="T8" i="133"/>
  <c r="W33" i="132"/>
  <c r="T9" i="133"/>
  <c r="T10" i="133"/>
  <c r="T7" i="133"/>
  <c r="X27" i="132"/>
  <c r="W32" i="132"/>
  <c r="U4" i="132"/>
  <c r="X4" i="132" s="1"/>
  <c r="Y4" i="132" s="1"/>
  <c r="Z4" i="132" s="1"/>
  <c r="Q4" i="132" s="1"/>
  <c r="P4" i="132"/>
  <c r="R4" i="132" s="1"/>
  <c r="U5" i="132"/>
  <c r="X5" i="132" s="1"/>
  <c r="Y5" i="132" s="1"/>
  <c r="Z5" i="132" s="1"/>
  <c r="Q5" i="132" s="1"/>
  <c r="P5" i="132"/>
  <c r="R5" i="132" s="1"/>
  <c r="U6" i="132"/>
  <c r="X6" i="132" s="1"/>
  <c r="Y6" i="132" s="1"/>
  <c r="Z6" i="132" s="1"/>
  <c r="Q6" i="132" s="1"/>
  <c r="P6" i="132"/>
  <c r="R6" i="132" s="1"/>
  <c r="U7" i="132"/>
  <c r="X7" i="132" s="1"/>
  <c r="Y7" i="132" s="1"/>
  <c r="Z7" i="132" s="1"/>
  <c r="Q7" i="132" s="1"/>
  <c r="P7" i="132"/>
  <c r="R7" i="132" s="1"/>
  <c r="U8" i="132"/>
  <c r="X8" i="132" s="1"/>
  <c r="Y8" i="132" s="1"/>
  <c r="Z8" i="132" s="1"/>
  <c r="Q8" i="132" s="1"/>
  <c r="P8" i="132"/>
  <c r="R8" i="132" s="1"/>
  <c r="U9" i="132"/>
  <c r="X9" i="132" s="1"/>
  <c r="Y9" i="132" s="1"/>
  <c r="Z9" i="132" s="1"/>
  <c r="Q9" i="132" s="1"/>
  <c r="P9" i="132"/>
  <c r="R9" i="132" s="1"/>
  <c r="U10" i="132"/>
  <c r="X10" i="132" s="1"/>
  <c r="Y10" i="132" s="1"/>
  <c r="Z10" i="132" s="1"/>
  <c r="Q10" i="132" s="1"/>
  <c r="P10" i="132"/>
  <c r="R10" i="132" s="1"/>
  <c r="U11" i="132"/>
  <c r="X11" i="132" s="1"/>
  <c r="Y11" i="132" s="1"/>
  <c r="Z11" i="132" s="1"/>
  <c r="Q11" i="132" s="1"/>
  <c r="P11" i="132"/>
  <c r="R11" i="132" s="1"/>
  <c r="U12" i="132"/>
  <c r="X12" i="132" s="1"/>
  <c r="Y12" i="132" s="1"/>
  <c r="Z12" i="132" s="1"/>
  <c r="Q12" i="132" s="1"/>
  <c r="P12" i="132"/>
  <c r="R12" i="132" s="1"/>
  <c r="F16" i="132"/>
  <c r="F20" i="132"/>
  <c r="F24" i="132"/>
  <c r="F25" i="132"/>
  <c r="F23" i="132" l="1"/>
  <c r="F19" i="132"/>
  <c r="F15" i="132"/>
  <c r="F12" i="132"/>
  <c r="G12" i="132" s="1"/>
  <c r="G13" i="132" s="1"/>
  <c r="G14" i="132" s="1"/>
  <c r="G15" i="132" s="1"/>
  <c r="G16" i="132" s="1"/>
  <c r="G17" i="132" s="1"/>
  <c r="G18" i="132" s="1"/>
  <c r="G19" i="132" s="1"/>
  <c r="G20" i="132" s="1"/>
  <c r="G21" i="132" s="1"/>
  <c r="G22" i="132" s="1"/>
  <c r="G23" i="132" s="1"/>
  <c r="G24" i="132" s="1"/>
  <c r="F22" i="132"/>
  <c r="F18" i="132"/>
  <c r="F14" i="132"/>
  <c r="F21" i="132"/>
  <c r="F17" i="132"/>
  <c r="F13" i="132"/>
  <c r="F11" i="132"/>
  <c r="F26" i="132"/>
  <c r="G25" i="132" l="1"/>
  <c r="S12" i="132"/>
  <c r="S11" i="132"/>
  <c r="S10" i="132"/>
  <c r="S9" i="132"/>
  <c r="S8" i="132"/>
  <c r="S7" i="132"/>
  <c r="S6" i="132"/>
  <c r="S5" i="132"/>
  <c r="S4" i="132"/>
  <c r="F31" i="132"/>
  <c r="W31" i="131" l="1"/>
  <c r="W30" i="131"/>
  <c r="W27" i="131"/>
  <c r="W24" i="131"/>
  <c r="F61" i="156" s="1"/>
  <c r="J61" i="156" s="1"/>
  <c r="W22" i="131"/>
  <c r="F36" i="131"/>
  <c r="G33" i="131"/>
  <c r="C27" i="131"/>
  <c r="E25" i="131"/>
  <c r="E24" i="131"/>
  <c r="E23" i="131"/>
  <c r="E22" i="131"/>
  <c r="E21" i="131"/>
  <c r="E20" i="131"/>
  <c r="E19" i="131"/>
  <c r="E18" i="131"/>
  <c r="E17" i="131"/>
  <c r="E16" i="131"/>
  <c r="E15" i="131"/>
  <c r="E14" i="131"/>
  <c r="E13" i="131"/>
  <c r="W12" i="131"/>
  <c r="V12" i="131"/>
  <c r="M12" i="131"/>
  <c r="I12" i="131"/>
  <c r="E12" i="131"/>
  <c r="W11" i="131"/>
  <c r="V11" i="131"/>
  <c r="M11" i="131"/>
  <c r="I11" i="131"/>
  <c r="E11" i="131"/>
  <c r="W10" i="131"/>
  <c r="V10" i="131"/>
  <c r="M10" i="131"/>
  <c r="I10" i="131"/>
  <c r="W9" i="131"/>
  <c r="V9" i="131"/>
  <c r="M9" i="131"/>
  <c r="I9" i="131"/>
  <c r="W8" i="131"/>
  <c r="V8" i="131"/>
  <c r="M8" i="131"/>
  <c r="I8" i="131"/>
  <c r="W7" i="131"/>
  <c r="V7" i="131"/>
  <c r="M7" i="131"/>
  <c r="I7" i="131"/>
  <c r="W6" i="131"/>
  <c r="V6" i="131"/>
  <c r="M6" i="131"/>
  <c r="I6" i="131"/>
  <c r="AE5" i="131"/>
  <c r="W5" i="131"/>
  <c r="V5" i="131"/>
  <c r="M5" i="131"/>
  <c r="N5" i="131" s="1"/>
  <c r="I5" i="131"/>
  <c r="W4" i="131"/>
  <c r="V4" i="131"/>
  <c r="M4" i="131"/>
  <c r="N4" i="131" s="1"/>
  <c r="I4" i="131"/>
  <c r="N6" i="131" l="1"/>
  <c r="N7" i="131"/>
  <c r="N8" i="131"/>
  <c r="N9" i="131"/>
  <c r="P9" i="131" s="1"/>
  <c r="R9" i="131" s="1"/>
  <c r="N10" i="131"/>
  <c r="E26" i="131"/>
  <c r="E27" i="131" s="1"/>
  <c r="F27" i="131" s="1"/>
  <c r="F11" i="131"/>
  <c r="N11" i="131"/>
  <c r="P11" i="131" s="1"/>
  <c r="R11" i="131" s="1"/>
  <c r="W33" i="131"/>
  <c r="N12" i="131"/>
  <c r="V36" i="131"/>
  <c r="X27" i="131"/>
  <c r="W32" i="131"/>
  <c r="U4" i="131"/>
  <c r="X4" i="131" s="1"/>
  <c r="Y4" i="131" s="1"/>
  <c r="Z4" i="131" s="1"/>
  <c r="Q4" i="131" s="1"/>
  <c r="P4" i="131"/>
  <c r="R4" i="131" s="1"/>
  <c r="U5" i="131"/>
  <c r="X5" i="131" s="1"/>
  <c r="Y5" i="131" s="1"/>
  <c r="Z5" i="131" s="1"/>
  <c r="Q5" i="131" s="1"/>
  <c r="P5" i="131"/>
  <c r="R5" i="131" s="1"/>
  <c r="U6" i="131"/>
  <c r="X6" i="131" s="1"/>
  <c r="Y6" i="131" s="1"/>
  <c r="Z6" i="131" s="1"/>
  <c r="Q6" i="131" s="1"/>
  <c r="P6" i="131"/>
  <c r="R6" i="131" s="1"/>
  <c r="U7" i="131"/>
  <c r="X7" i="131" s="1"/>
  <c r="Y7" i="131" s="1"/>
  <c r="Z7" i="131" s="1"/>
  <c r="Q7" i="131" s="1"/>
  <c r="P7" i="131"/>
  <c r="R7" i="131" s="1"/>
  <c r="U8" i="131"/>
  <c r="X8" i="131" s="1"/>
  <c r="Y8" i="131" s="1"/>
  <c r="Z8" i="131" s="1"/>
  <c r="Q8" i="131" s="1"/>
  <c r="P8" i="131"/>
  <c r="R8" i="131" s="1"/>
  <c r="U9" i="131"/>
  <c r="X9" i="131" s="1"/>
  <c r="Y9" i="131" s="1"/>
  <c r="Z9" i="131" s="1"/>
  <c r="Q9" i="131" s="1"/>
  <c r="U10" i="131"/>
  <c r="X10" i="131" s="1"/>
  <c r="Y10" i="131" s="1"/>
  <c r="Z10" i="131" s="1"/>
  <c r="Q10" i="131" s="1"/>
  <c r="P10" i="131"/>
  <c r="R10" i="131" s="1"/>
  <c r="U11" i="131"/>
  <c r="X11" i="131" s="1"/>
  <c r="Y11" i="131" s="1"/>
  <c r="Z11" i="131" s="1"/>
  <c r="Q11" i="131" s="1"/>
  <c r="U12" i="131"/>
  <c r="X12" i="131" s="1"/>
  <c r="Y12" i="131" s="1"/>
  <c r="Z12" i="131" s="1"/>
  <c r="Q12" i="131" s="1"/>
  <c r="P12" i="131"/>
  <c r="R12" i="131" s="1"/>
  <c r="F13" i="131"/>
  <c r="F14" i="131"/>
  <c r="F15" i="131"/>
  <c r="F16" i="131"/>
  <c r="F17" i="131"/>
  <c r="F18" i="131"/>
  <c r="F19" i="131"/>
  <c r="F20" i="131"/>
  <c r="F21" i="131"/>
  <c r="F22" i="131"/>
  <c r="F23" i="131"/>
  <c r="F24" i="131"/>
  <c r="F25" i="131"/>
  <c r="F12" i="131"/>
  <c r="F26" i="131" l="1"/>
  <c r="G12" i="131"/>
  <c r="G13" i="131" s="1"/>
  <c r="G14" i="131" s="1"/>
  <c r="G15" i="131" s="1"/>
  <c r="G16" i="131" s="1"/>
  <c r="G17" i="131" s="1"/>
  <c r="G18" i="131" s="1"/>
  <c r="G19" i="131" s="1"/>
  <c r="G20" i="131" s="1"/>
  <c r="G21" i="131" s="1"/>
  <c r="G22" i="131" s="1"/>
  <c r="G23" i="131" s="1"/>
  <c r="G24" i="131" s="1"/>
  <c r="G25" i="131" l="1"/>
  <c r="S12" i="131"/>
  <c r="S11" i="131"/>
  <c r="S10" i="131"/>
  <c r="S9" i="131"/>
  <c r="S8" i="131"/>
  <c r="S7" i="131"/>
  <c r="S6" i="131"/>
  <c r="S5" i="131"/>
  <c r="S4" i="131"/>
  <c r="F31" i="131"/>
  <c r="W31" i="130" l="1"/>
  <c r="W30" i="130"/>
  <c r="W27" i="130"/>
  <c r="W24" i="130"/>
  <c r="W22" i="130"/>
  <c r="F36" i="130"/>
  <c r="G33" i="130"/>
  <c r="C27" i="130"/>
  <c r="E25" i="130"/>
  <c r="E24" i="130"/>
  <c r="E23" i="130"/>
  <c r="E22" i="130"/>
  <c r="E21" i="130"/>
  <c r="E20" i="130"/>
  <c r="E19" i="130"/>
  <c r="E18" i="130"/>
  <c r="E17" i="130"/>
  <c r="E16" i="130"/>
  <c r="E15" i="130"/>
  <c r="E14" i="130"/>
  <c r="E13" i="130"/>
  <c r="W12" i="130"/>
  <c r="V12" i="130"/>
  <c r="M12" i="130"/>
  <c r="N12" i="130" s="1"/>
  <c r="I12" i="130"/>
  <c r="E12" i="130"/>
  <c r="E26" i="130" s="1"/>
  <c r="E27" i="130" s="1"/>
  <c r="F27" i="130" s="1"/>
  <c r="W11" i="130"/>
  <c r="V11" i="130"/>
  <c r="M11" i="130"/>
  <c r="N11" i="130" s="1"/>
  <c r="I11" i="130"/>
  <c r="E11" i="130"/>
  <c r="W10" i="130"/>
  <c r="V10" i="130"/>
  <c r="M10" i="130"/>
  <c r="N10" i="130" s="1"/>
  <c r="I10" i="130"/>
  <c r="W9" i="130"/>
  <c r="V9" i="130"/>
  <c r="M9" i="130"/>
  <c r="N9" i="130" s="1"/>
  <c r="I9" i="130"/>
  <c r="W8" i="130"/>
  <c r="V8" i="130"/>
  <c r="M8" i="130"/>
  <c r="N8" i="130" s="1"/>
  <c r="I8" i="130"/>
  <c r="W7" i="130"/>
  <c r="V7" i="130"/>
  <c r="M7" i="130"/>
  <c r="N7" i="130" s="1"/>
  <c r="I7" i="130"/>
  <c r="W6" i="130"/>
  <c r="V6" i="130"/>
  <c r="M6" i="130"/>
  <c r="N6" i="130" s="1"/>
  <c r="I6" i="130"/>
  <c r="AE5" i="130"/>
  <c r="W5" i="130"/>
  <c r="V5" i="130"/>
  <c r="M5" i="130"/>
  <c r="N5" i="130" s="1"/>
  <c r="I5" i="130"/>
  <c r="W4" i="130"/>
  <c r="V4" i="130"/>
  <c r="M4" i="130"/>
  <c r="N4" i="130" s="1"/>
  <c r="I4" i="130"/>
  <c r="W33" i="130" l="1"/>
  <c r="V36" i="130"/>
  <c r="F109" i="156"/>
  <c r="J109" i="156" s="1"/>
  <c r="F11" i="130"/>
  <c r="X27" i="130"/>
  <c r="W32" i="130"/>
  <c r="U4" i="130"/>
  <c r="X4" i="130" s="1"/>
  <c r="Y4" i="130" s="1"/>
  <c r="Z4" i="130" s="1"/>
  <c r="Q4" i="130" s="1"/>
  <c r="P4" i="130"/>
  <c r="R4" i="130" s="1"/>
  <c r="U5" i="130"/>
  <c r="X5" i="130" s="1"/>
  <c r="Y5" i="130" s="1"/>
  <c r="Z5" i="130" s="1"/>
  <c r="Q5" i="130" s="1"/>
  <c r="P5" i="130"/>
  <c r="R5" i="130" s="1"/>
  <c r="U6" i="130"/>
  <c r="X6" i="130" s="1"/>
  <c r="Y6" i="130" s="1"/>
  <c r="Z6" i="130" s="1"/>
  <c r="Q6" i="130" s="1"/>
  <c r="P6" i="130"/>
  <c r="R6" i="130" s="1"/>
  <c r="U7" i="130"/>
  <c r="X7" i="130" s="1"/>
  <c r="Y7" i="130" s="1"/>
  <c r="Z7" i="130" s="1"/>
  <c r="Q7" i="130" s="1"/>
  <c r="P7" i="130"/>
  <c r="R7" i="130" s="1"/>
  <c r="U8" i="130"/>
  <c r="X8" i="130" s="1"/>
  <c r="Y8" i="130" s="1"/>
  <c r="Z8" i="130" s="1"/>
  <c r="Q8" i="130" s="1"/>
  <c r="P8" i="130"/>
  <c r="R8" i="130" s="1"/>
  <c r="U9" i="130"/>
  <c r="X9" i="130" s="1"/>
  <c r="Y9" i="130" s="1"/>
  <c r="Z9" i="130" s="1"/>
  <c r="Q9" i="130" s="1"/>
  <c r="P9" i="130"/>
  <c r="R9" i="130" s="1"/>
  <c r="U10" i="130"/>
  <c r="X10" i="130" s="1"/>
  <c r="Y10" i="130" s="1"/>
  <c r="Z10" i="130" s="1"/>
  <c r="Q10" i="130" s="1"/>
  <c r="P10" i="130"/>
  <c r="R10" i="130" s="1"/>
  <c r="U11" i="130"/>
  <c r="X11" i="130" s="1"/>
  <c r="Y11" i="130" s="1"/>
  <c r="Z11" i="130" s="1"/>
  <c r="Q11" i="130" s="1"/>
  <c r="P11" i="130"/>
  <c r="R11" i="130" s="1"/>
  <c r="U12" i="130"/>
  <c r="X12" i="130" s="1"/>
  <c r="Y12" i="130" s="1"/>
  <c r="Z12" i="130" s="1"/>
  <c r="Q12" i="130" s="1"/>
  <c r="P12" i="130"/>
  <c r="R12" i="130" s="1"/>
  <c r="F13" i="130"/>
  <c r="F14" i="130"/>
  <c r="F15" i="130"/>
  <c r="F16" i="130"/>
  <c r="F17" i="130"/>
  <c r="F18" i="130"/>
  <c r="F19" i="130"/>
  <c r="F20" i="130"/>
  <c r="F21" i="130"/>
  <c r="F22" i="130"/>
  <c r="F23" i="130"/>
  <c r="F24" i="130"/>
  <c r="F25" i="130"/>
  <c r="F12" i="130"/>
  <c r="F26" i="130" l="1"/>
  <c r="G12" i="130"/>
  <c r="G13" i="130" s="1"/>
  <c r="G14" i="130" s="1"/>
  <c r="G15" i="130" s="1"/>
  <c r="G16" i="130" s="1"/>
  <c r="G17" i="130" s="1"/>
  <c r="G18" i="130" s="1"/>
  <c r="G19" i="130" s="1"/>
  <c r="G20" i="130" s="1"/>
  <c r="G21" i="130" s="1"/>
  <c r="G22" i="130" s="1"/>
  <c r="G23" i="130" s="1"/>
  <c r="G24" i="130" s="1"/>
  <c r="G25" i="130" l="1"/>
  <c r="S12" i="130"/>
  <c r="S11" i="130"/>
  <c r="S10" i="130"/>
  <c r="S9" i="130"/>
  <c r="S8" i="130"/>
  <c r="S7" i="130"/>
  <c r="S6" i="130"/>
  <c r="S5" i="130"/>
  <c r="S4" i="130"/>
  <c r="F31" i="130"/>
  <c r="W31" i="129" l="1"/>
  <c r="W30" i="129"/>
  <c r="W27" i="129"/>
  <c r="W24" i="129"/>
  <c r="W22" i="129"/>
  <c r="F36" i="129"/>
  <c r="G33" i="129"/>
  <c r="C27" i="129"/>
  <c r="E24" i="129"/>
  <c r="E23" i="129"/>
  <c r="E22" i="129"/>
  <c r="E21" i="129"/>
  <c r="E20" i="129"/>
  <c r="E19" i="129"/>
  <c r="E18" i="129"/>
  <c r="E17" i="129"/>
  <c r="E16" i="129"/>
  <c r="E15" i="129"/>
  <c r="E14" i="129"/>
  <c r="E13" i="129"/>
  <c r="W12" i="129"/>
  <c r="V12" i="129"/>
  <c r="M12" i="129"/>
  <c r="N12" i="129" s="1"/>
  <c r="I12" i="129"/>
  <c r="E12" i="129"/>
  <c r="E26" i="129" s="1"/>
  <c r="E27" i="129" s="1"/>
  <c r="F27" i="129" s="1"/>
  <c r="W11" i="129"/>
  <c r="V11" i="129"/>
  <c r="M11" i="129"/>
  <c r="N11" i="129" s="1"/>
  <c r="I11" i="129"/>
  <c r="E11" i="129"/>
  <c r="W10" i="129"/>
  <c r="V10" i="129"/>
  <c r="M10" i="129"/>
  <c r="N10" i="129" s="1"/>
  <c r="I10" i="129"/>
  <c r="W9" i="129"/>
  <c r="V9" i="129"/>
  <c r="M9" i="129"/>
  <c r="N9" i="129" s="1"/>
  <c r="I9" i="129"/>
  <c r="W8" i="129"/>
  <c r="V8" i="129"/>
  <c r="M8" i="129"/>
  <c r="N8" i="129" s="1"/>
  <c r="I8" i="129"/>
  <c r="W7" i="129"/>
  <c r="V7" i="129"/>
  <c r="M7" i="129"/>
  <c r="N7" i="129" s="1"/>
  <c r="I7" i="129"/>
  <c r="W6" i="129"/>
  <c r="V6" i="129"/>
  <c r="M6" i="129"/>
  <c r="N6" i="129" s="1"/>
  <c r="I6" i="129"/>
  <c r="AE5" i="129"/>
  <c r="W5" i="129"/>
  <c r="V5" i="129"/>
  <c r="M5" i="129"/>
  <c r="N5" i="129" s="1"/>
  <c r="I5" i="129"/>
  <c r="W4" i="129"/>
  <c r="V4" i="129"/>
  <c r="M4" i="129"/>
  <c r="N4" i="129" s="1"/>
  <c r="I4" i="129"/>
  <c r="F63" i="156" l="1"/>
  <c r="J63" i="156" s="1"/>
  <c r="V36" i="129"/>
  <c r="W33" i="129"/>
  <c r="F11" i="129"/>
  <c r="X27" i="129"/>
  <c r="W32" i="129"/>
  <c r="U4" i="129"/>
  <c r="X4" i="129" s="1"/>
  <c r="Y4" i="129" s="1"/>
  <c r="Z4" i="129" s="1"/>
  <c r="Q4" i="129" s="1"/>
  <c r="P4" i="129"/>
  <c r="R4" i="129" s="1"/>
  <c r="U5" i="129"/>
  <c r="X5" i="129" s="1"/>
  <c r="Y5" i="129" s="1"/>
  <c r="Z5" i="129" s="1"/>
  <c r="Q5" i="129" s="1"/>
  <c r="P5" i="129"/>
  <c r="R5" i="129" s="1"/>
  <c r="U6" i="129"/>
  <c r="X6" i="129" s="1"/>
  <c r="Y6" i="129" s="1"/>
  <c r="Z6" i="129" s="1"/>
  <c r="Q6" i="129" s="1"/>
  <c r="P6" i="129"/>
  <c r="R6" i="129" s="1"/>
  <c r="U7" i="129"/>
  <c r="X7" i="129" s="1"/>
  <c r="Y7" i="129" s="1"/>
  <c r="Z7" i="129" s="1"/>
  <c r="Q7" i="129" s="1"/>
  <c r="P7" i="129"/>
  <c r="R7" i="129" s="1"/>
  <c r="U8" i="129"/>
  <c r="X8" i="129" s="1"/>
  <c r="Y8" i="129" s="1"/>
  <c r="Z8" i="129" s="1"/>
  <c r="Q8" i="129" s="1"/>
  <c r="P8" i="129"/>
  <c r="R8" i="129" s="1"/>
  <c r="U9" i="129"/>
  <c r="X9" i="129" s="1"/>
  <c r="Y9" i="129" s="1"/>
  <c r="Z9" i="129" s="1"/>
  <c r="Q9" i="129" s="1"/>
  <c r="P9" i="129"/>
  <c r="R9" i="129" s="1"/>
  <c r="U10" i="129"/>
  <c r="X10" i="129" s="1"/>
  <c r="Y10" i="129" s="1"/>
  <c r="Z10" i="129" s="1"/>
  <c r="Q10" i="129" s="1"/>
  <c r="P10" i="129"/>
  <c r="R10" i="129" s="1"/>
  <c r="U11" i="129"/>
  <c r="X11" i="129" s="1"/>
  <c r="Y11" i="129" s="1"/>
  <c r="Z11" i="129" s="1"/>
  <c r="Q11" i="129" s="1"/>
  <c r="P11" i="129"/>
  <c r="R11" i="129" s="1"/>
  <c r="U12" i="129"/>
  <c r="X12" i="129" s="1"/>
  <c r="Y12" i="129" s="1"/>
  <c r="Z12" i="129" s="1"/>
  <c r="Q12" i="129" s="1"/>
  <c r="P12" i="129"/>
  <c r="R12" i="129" s="1"/>
  <c r="F13" i="129"/>
  <c r="F14" i="129"/>
  <c r="F15" i="129"/>
  <c r="F16" i="129"/>
  <c r="F17" i="129"/>
  <c r="F18" i="129"/>
  <c r="F19" i="129"/>
  <c r="F20" i="129"/>
  <c r="F21" i="129"/>
  <c r="F22" i="129"/>
  <c r="F23" i="129"/>
  <c r="F24" i="129"/>
  <c r="F25" i="129"/>
  <c r="F12" i="129"/>
  <c r="F26" i="129" l="1"/>
  <c r="G12" i="129"/>
  <c r="G13" i="129" s="1"/>
  <c r="G14" i="129" s="1"/>
  <c r="G15" i="129" s="1"/>
  <c r="G16" i="129" s="1"/>
  <c r="G17" i="129" s="1"/>
  <c r="G18" i="129" s="1"/>
  <c r="G19" i="129" s="1"/>
  <c r="G20" i="129" s="1"/>
  <c r="G21" i="129" s="1"/>
  <c r="G22" i="129" s="1"/>
  <c r="G23" i="129" s="1"/>
  <c r="G24" i="129" s="1"/>
  <c r="G25" i="129" l="1"/>
  <c r="S12" i="129"/>
  <c r="S11" i="129"/>
  <c r="S10" i="129"/>
  <c r="S9" i="129"/>
  <c r="S8" i="129"/>
  <c r="S7" i="129"/>
  <c r="S6" i="129"/>
  <c r="S5" i="129"/>
  <c r="S4" i="129"/>
  <c r="F31" i="129"/>
  <c r="W31" i="128" l="1"/>
  <c r="W30" i="128"/>
  <c r="W27" i="128"/>
  <c r="W24" i="128"/>
  <c r="W22" i="128"/>
  <c r="F36" i="128"/>
  <c r="G33" i="128"/>
  <c r="C27" i="128"/>
  <c r="E25" i="128"/>
  <c r="E24" i="128"/>
  <c r="E23" i="128"/>
  <c r="E22" i="128"/>
  <c r="E21" i="128"/>
  <c r="E20" i="128"/>
  <c r="E19" i="128"/>
  <c r="E18" i="128"/>
  <c r="E17" i="128"/>
  <c r="E16" i="128"/>
  <c r="E15" i="128"/>
  <c r="E14" i="128"/>
  <c r="E13" i="128"/>
  <c r="W12" i="128"/>
  <c r="V12" i="128"/>
  <c r="M12" i="128"/>
  <c r="N12" i="128" s="1"/>
  <c r="I12" i="128"/>
  <c r="E12" i="128"/>
  <c r="W11" i="128"/>
  <c r="V11" i="128"/>
  <c r="M11" i="128"/>
  <c r="N11" i="128" s="1"/>
  <c r="I11" i="128"/>
  <c r="E11" i="128"/>
  <c r="W10" i="128"/>
  <c r="V10" i="128"/>
  <c r="M10" i="128"/>
  <c r="N10" i="128" s="1"/>
  <c r="I10" i="128"/>
  <c r="W9" i="128"/>
  <c r="V9" i="128"/>
  <c r="M9" i="128"/>
  <c r="N9" i="128" s="1"/>
  <c r="I9" i="128"/>
  <c r="W8" i="128"/>
  <c r="V8" i="128"/>
  <c r="M8" i="128"/>
  <c r="N8" i="128" s="1"/>
  <c r="I8" i="128"/>
  <c r="W7" i="128"/>
  <c r="V7" i="128"/>
  <c r="M7" i="128"/>
  <c r="N7" i="128" s="1"/>
  <c r="I7" i="128"/>
  <c r="W6" i="128"/>
  <c r="V6" i="128"/>
  <c r="M6" i="128"/>
  <c r="N6" i="128" s="1"/>
  <c r="I6" i="128"/>
  <c r="AE5" i="128"/>
  <c r="W5" i="128"/>
  <c r="V5" i="128"/>
  <c r="M5" i="128"/>
  <c r="N5" i="128" s="1"/>
  <c r="I5" i="128"/>
  <c r="W4" i="128"/>
  <c r="V4" i="128"/>
  <c r="M4" i="128"/>
  <c r="N4" i="128" s="1"/>
  <c r="I4" i="128"/>
  <c r="W33" i="128" l="1"/>
  <c r="F74" i="156"/>
  <c r="J74" i="156" s="1"/>
  <c r="V36" i="128"/>
  <c r="E26" i="128"/>
  <c r="E27" i="128" s="1"/>
  <c r="F27" i="128" s="1"/>
  <c r="X27" i="128"/>
  <c r="W32" i="128"/>
  <c r="U4" i="128"/>
  <c r="X4" i="128" s="1"/>
  <c r="Y4" i="128" s="1"/>
  <c r="Z4" i="128" s="1"/>
  <c r="Q4" i="128" s="1"/>
  <c r="P4" i="128"/>
  <c r="R4" i="128" s="1"/>
  <c r="U5" i="128"/>
  <c r="X5" i="128" s="1"/>
  <c r="Y5" i="128" s="1"/>
  <c r="Z5" i="128" s="1"/>
  <c r="Q5" i="128" s="1"/>
  <c r="P5" i="128"/>
  <c r="R5" i="128" s="1"/>
  <c r="U6" i="128"/>
  <c r="X6" i="128" s="1"/>
  <c r="Y6" i="128" s="1"/>
  <c r="Z6" i="128" s="1"/>
  <c r="Q6" i="128" s="1"/>
  <c r="P6" i="128"/>
  <c r="R6" i="128" s="1"/>
  <c r="U7" i="128"/>
  <c r="X7" i="128" s="1"/>
  <c r="Y7" i="128" s="1"/>
  <c r="Z7" i="128" s="1"/>
  <c r="Q7" i="128" s="1"/>
  <c r="P7" i="128"/>
  <c r="R7" i="128" s="1"/>
  <c r="U8" i="128"/>
  <c r="X8" i="128" s="1"/>
  <c r="Y8" i="128" s="1"/>
  <c r="Z8" i="128" s="1"/>
  <c r="Q8" i="128" s="1"/>
  <c r="P8" i="128"/>
  <c r="R8" i="128" s="1"/>
  <c r="U9" i="128"/>
  <c r="X9" i="128" s="1"/>
  <c r="Y9" i="128" s="1"/>
  <c r="Z9" i="128" s="1"/>
  <c r="Q9" i="128" s="1"/>
  <c r="P9" i="128"/>
  <c r="R9" i="128" s="1"/>
  <c r="U10" i="128"/>
  <c r="X10" i="128" s="1"/>
  <c r="Y10" i="128" s="1"/>
  <c r="Z10" i="128" s="1"/>
  <c r="Q10" i="128" s="1"/>
  <c r="P10" i="128"/>
  <c r="R10" i="128" s="1"/>
  <c r="U11" i="128"/>
  <c r="X11" i="128" s="1"/>
  <c r="Y11" i="128" s="1"/>
  <c r="Z11" i="128" s="1"/>
  <c r="Q11" i="128" s="1"/>
  <c r="P11" i="128"/>
  <c r="R11" i="128" s="1"/>
  <c r="U12" i="128"/>
  <c r="X12" i="128" s="1"/>
  <c r="Y12" i="128" s="1"/>
  <c r="Z12" i="128" s="1"/>
  <c r="Q12" i="128" s="1"/>
  <c r="P12" i="128"/>
  <c r="R12" i="128" s="1"/>
  <c r="F13" i="128"/>
  <c r="F15" i="128"/>
  <c r="F17" i="128"/>
  <c r="F19" i="128"/>
  <c r="F21" i="128"/>
  <c r="F23" i="128"/>
  <c r="F25" i="128"/>
  <c r="F12" i="128" l="1"/>
  <c r="F22" i="128"/>
  <c r="F18" i="128"/>
  <c r="F14" i="128"/>
  <c r="F26" i="128" s="1"/>
  <c r="F11" i="128"/>
  <c r="F24" i="128"/>
  <c r="F20" i="128"/>
  <c r="F16" i="128"/>
  <c r="G12" i="128"/>
  <c r="G13" i="128" s="1"/>
  <c r="G14" i="128" l="1"/>
  <c r="G15" i="128" s="1"/>
  <c r="G16" i="128" s="1"/>
  <c r="G17" i="128" s="1"/>
  <c r="G18" i="128" s="1"/>
  <c r="G19" i="128" s="1"/>
  <c r="G20" i="128" s="1"/>
  <c r="G21" i="128" s="1"/>
  <c r="G22" i="128" s="1"/>
  <c r="G23" i="128" s="1"/>
  <c r="G24" i="128" s="1"/>
  <c r="G25" i="128" s="1"/>
  <c r="S10" i="128" l="1"/>
  <c r="S6" i="128"/>
  <c r="F31" i="128"/>
  <c r="S7" i="128"/>
  <c r="S11" i="128"/>
  <c r="S4" i="128"/>
  <c r="S8" i="128"/>
  <c r="S12" i="128"/>
  <c r="S5" i="128"/>
  <c r="S9" i="128"/>
  <c r="W31" i="127"/>
  <c r="W30" i="127"/>
  <c r="W27" i="127"/>
  <c r="W24" i="127"/>
  <c r="F98" i="156" s="1"/>
  <c r="J98" i="156" s="1"/>
  <c r="W22" i="127"/>
  <c r="F36" i="127"/>
  <c r="G33" i="127"/>
  <c r="C27" i="127"/>
  <c r="E25" i="127"/>
  <c r="E24" i="127"/>
  <c r="E23" i="127"/>
  <c r="E22" i="127"/>
  <c r="E21" i="127"/>
  <c r="E20" i="127"/>
  <c r="E19" i="127"/>
  <c r="E18" i="127"/>
  <c r="E17" i="127"/>
  <c r="E16" i="127"/>
  <c r="E15" i="127"/>
  <c r="E14" i="127"/>
  <c r="E13" i="127"/>
  <c r="W12" i="127"/>
  <c r="V12" i="127"/>
  <c r="M12" i="127"/>
  <c r="N12" i="127" s="1"/>
  <c r="I12" i="127"/>
  <c r="E12" i="127"/>
  <c r="W11" i="127"/>
  <c r="V11" i="127"/>
  <c r="M11" i="127"/>
  <c r="N11" i="127" s="1"/>
  <c r="I11" i="127"/>
  <c r="E11" i="127"/>
  <c r="W10" i="127"/>
  <c r="V10" i="127"/>
  <c r="M10" i="127"/>
  <c r="N10" i="127" s="1"/>
  <c r="I10" i="127"/>
  <c r="W9" i="127"/>
  <c r="V9" i="127"/>
  <c r="M9" i="127"/>
  <c r="N9" i="127" s="1"/>
  <c r="I9" i="127"/>
  <c r="W8" i="127"/>
  <c r="V8" i="127"/>
  <c r="M8" i="127"/>
  <c r="N8" i="127" s="1"/>
  <c r="I8" i="127"/>
  <c r="W7" i="127"/>
  <c r="V7" i="127"/>
  <c r="M7" i="127"/>
  <c r="N7" i="127" s="1"/>
  <c r="I7" i="127"/>
  <c r="W6" i="127"/>
  <c r="V6" i="127"/>
  <c r="M6" i="127"/>
  <c r="N6" i="127" s="1"/>
  <c r="I6" i="127"/>
  <c r="AE5" i="127"/>
  <c r="W5" i="127"/>
  <c r="V5" i="127"/>
  <c r="M5" i="127"/>
  <c r="N5" i="127" s="1"/>
  <c r="I5" i="127"/>
  <c r="W4" i="127"/>
  <c r="V4" i="127"/>
  <c r="M4" i="127"/>
  <c r="N4" i="127" s="1"/>
  <c r="I4" i="127"/>
  <c r="W33" i="127" l="1"/>
  <c r="E26" i="127"/>
  <c r="E27" i="127" s="1"/>
  <c r="F27" i="127" s="1"/>
  <c r="V36" i="127"/>
  <c r="X27" i="127"/>
  <c r="W32" i="127"/>
  <c r="U4" i="127"/>
  <c r="X4" i="127" s="1"/>
  <c r="Y4" i="127" s="1"/>
  <c r="Z4" i="127" s="1"/>
  <c r="Q4" i="127" s="1"/>
  <c r="P4" i="127"/>
  <c r="R4" i="127" s="1"/>
  <c r="U5" i="127"/>
  <c r="X5" i="127" s="1"/>
  <c r="Y5" i="127" s="1"/>
  <c r="Z5" i="127" s="1"/>
  <c r="Q5" i="127" s="1"/>
  <c r="P5" i="127"/>
  <c r="R5" i="127" s="1"/>
  <c r="U6" i="127"/>
  <c r="X6" i="127" s="1"/>
  <c r="Y6" i="127" s="1"/>
  <c r="Z6" i="127" s="1"/>
  <c r="Q6" i="127" s="1"/>
  <c r="P6" i="127"/>
  <c r="R6" i="127" s="1"/>
  <c r="U7" i="127"/>
  <c r="X7" i="127" s="1"/>
  <c r="Y7" i="127" s="1"/>
  <c r="Z7" i="127" s="1"/>
  <c r="Q7" i="127" s="1"/>
  <c r="P7" i="127"/>
  <c r="R7" i="127" s="1"/>
  <c r="U8" i="127"/>
  <c r="X8" i="127" s="1"/>
  <c r="Y8" i="127" s="1"/>
  <c r="Z8" i="127" s="1"/>
  <c r="Q8" i="127" s="1"/>
  <c r="P8" i="127"/>
  <c r="R8" i="127" s="1"/>
  <c r="U9" i="127"/>
  <c r="X9" i="127" s="1"/>
  <c r="Y9" i="127" s="1"/>
  <c r="Z9" i="127" s="1"/>
  <c r="Q9" i="127" s="1"/>
  <c r="P9" i="127"/>
  <c r="R9" i="127" s="1"/>
  <c r="U10" i="127"/>
  <c r="X10" i="127" s="1"/>
  <c r="Y10" i="127" s="1"/>
  <c r="Z10" i="127" s="1"/>
  <c r="Q10" i="127" s="1"/>
  <c r="P10" i="127"/>
  <c r="R10" i="127" s="1"/>
  <c r="U11" i="127"/>
  <c r="X11" i="127" s="1"/>
  <c r="Y11" i="127" s="1"/>
  <c r="Z11" i="127" s="1"/>
  <c r="Q11" i="127" s="1"/>
  <c r="P11" i="127"/>
  <c r="R11" i="127" s="1"/>
  <c r="U12" i="127"/>
  <c r="X12" i="127" s="1"/>
  <c r="Y12" i="127" s="1"/>
  <c r="Z12" i="127" s="1"/>
  <c r="Q12" i="127" s="1"/>
  <c r="P12" i="127"/>
  <c r="R12" i="127" s="1"/>
  <c r="F13" i="127"/>
  <c r="F16" i="127"/>
  <c r="F17" i="127"/>
  <c r="F20" i="127"/>
  <c r="F21" i="127"/>
  <c r="F24" i="127"/>
  <c r="F25" i="127"/>
  <c r="F23" i="127" l="1"/>
  <c r="F19" i="127"/>
  <c r="F15" i="127"/>
  <c r="F11" i="127"/>
  <c r="F12" i="127"/>
  <c r="F22" i="127"/>
  <c r="F18" i="127"/>
  <c r="F14" i="127"/>
  <c r="F26" i="127" s="1"/>
  <c r="G12" i="127"/>
  <c r="G13" i="127" s="1"/>
  <c r="G14" i="127" s="1"/>
  <c r="G15" i="127" s="1"/>
  <c r="G16" i="127" s="1"/>
  <c r="G17" i="127" s="1"/>
  <c r="G18" i="127" s="1"/>
  <c r="G19" i="127" s="1"/>
  <c r="G20" i="127" s="1"/>
  <c r="G21" i="127" s="1"/>
  <c r="G22" i="127" s="1"/>
  <c r="G23" i="127" s="1"/>
  <c r="G24" i="127" s="1"/>
  <c r="G25" i="127" l="1"/>
  <c r="S12" i="127"/>
  <c r="S11" i="127"/>
  <c r="S10" i="127"/>
  <c r="S9" i="127"/>
  <c r="S8" i="127"/>
  <c r="S7" i="127"/>
  <c r="S6" i="127"/>
  <c r="S5" i="127"/>
  <c r="S4" i="127"/>
  <c r="F31" i="127"/>
  <c r="W31" i="126" l="1"/>
  <c r="W30" i="126"/>
  <c r="W27" i="126"/>
  <c r="W22" i="126"/>
  <c r="F36" i="126"/>
  <c r="G33" i="126"/>
  <c r="C27" i="126"/>
  <c r="E25" i="126"/>
  <c r="E24" i="126"/>
  <c r="E23" i="126"/>
  <c r="E22" i="126"/>
  <c r="E21" i="126"/>
  <c r="E20" i="126"/>
  <c r="E19" i="126"/>
  <c r="E18" i="126"/>
  <c r="E17" i="126"/>
  <c r="E16" i="126"/>
  <c r="E15" i="126"/>
  <c r="E14" i="126"/>
  <c r="E13" i="126"/>
  <c r="W12" i="126"/>
  <c r="V12" i="126"/>
  <c r="M12" i="126"/>
  <c r="I12" i="126"/>
  <c r="E12" i="126"/>
  <c r="W11" i="126"/>
  <c r="V11" i="126"/>
  <c r="M11" i="126"/>
  <c r="I11" i="126"/>
  <c r="E11" i="126"/>
  <c r="W10" i="126"/>
  <c r="V10" i="126"/>
  <c r="M10" i="126"/>
  <c r="I10" i="126"/>
  <c r="W9" i="126"/>
  <c r="V9" i="126"/>
  <c r="M9" i="126"/>
  <c r="I9" i="126"/>
  <c r="W8" i="126"/>
  <c r="V8" i="126"/>
  <c r="M8" i="126"/>
  <c r="I8" i="126"/>
  <c r="W7" i="126"/>
  <c r="V7" i="126"/>
  <c r="M7" i="126"/>
  <c r="I7" i="126"/>
  <c r="W6" i="126"/>
  <c r="V6" i="126"/>
  <c r="M6" i="126"/>
  <c r="I6" i="126"/>
  <c r="AE5" i="126"/>
  <c r="W5" i="126"/>
  <c r="V5" i="126"/>
  <c r="M5" i="126"/>
  <c r="N5" i="126" s="1"/>
  <c r="I5" i="126"/>
  <c r="W4" i="126"/>
  <c r="V4" i="126"/>
  <c r="M4" i="126"/>
  <c r="N4" i="126" s="1"/>
  <c r="I4" i="126"/>
  <c r="N6" i="126" l="1"/>
  <c r="N7" i="126"/>
  <c r="N8" i="126"/>
  <c r="N9" i="126"/>
  <c r="U9" i="126" s="1"/>
  <c r="X9" i="126" s="1"/>
  <c r="Y9" i="126" s="1"/>
  <c r="Z9" i="126" s="1"/>
  <c r="Q9" i="126" s="1"/>
  <c r="N10" i="126"/>
  <c r="E26" i="126"/>
  <c r="E27" i="126" s="1"/>
  <c r="F27" i="126" s="1"/>
  <c r="N11" i="126"/>
  <c r="U11" i="126" s="1"/>
  <c r="X11" i="126" s="1"/>
  <c r="Y11" i="126" s="1"/>
  <c r="Z11" i="126" s="1"/>
  <c r="Q11" i="126" s="1"/>
  <c r="W33" i="126"/>
  <c r="N12" i="126"/>
  <c r="X27" i="126"/>
  <c r="W32" i="126"/>
  <c r="U4" i="126"/>
  <c r="X4" i="126" s="1"/>
  <c r="Y4" i="126" s="1"/>
  <c r="Z4" i="126" s="1"/>
  <c r="Q4" i="126" s="1"/>
  <c r="P4" i="126"/>
  <c r="R4" i="126" s="1"/>
  <c r="U5" i="126"/>
  <c r="X5" i="126" s="1"/>
  <c r="Y5" i="126" s="1"/>
  <c r="Z5" i="126" s="1"/>
  <c r="Q5" i="126" s="1"/>
  <c r="P5" i="126"/>
  <c r="R5" i="126" s="1"/>
  <c r="U6" i="126"/>
  <c r="X6" i="126" s="1"/>
  <c r="Y6" i="126" s="1"/>
  <c r="Z6" i="126" s="1"/>
  <c r="Q6" i="126" s="1"/>
  <c r="P6" i="126"/>
  <c r="R6" i="126" s="1"/>
  <c r="U7" i="126"/>
  <c r="X7" i="126" s="1"/>
  <c r="Y7" i="126" s="1"/>
  <c r="Z7" i="126" s="1"/>
  <c r="Q7" i="126" s="1"/>
  <c r="P7" i="126"/>
  <c r="R7" i="126" s="1"/>
  <c r="U8" i="126"/>
  <c r="X8" i="126" s="1"/>
  <c r="Y8" i="126" s="1"/>
  <c r="Z8" i="126" s="1"/>
  <c r="Q8" i="126" s="1"/>
  <c r="P8" i="126"/>
  <c r="R8" i="126" s="1"/>
  <c r="U10" i="126"/>
  <c r="X10" i="126" s="1"/>
  <c r="Y10" i="126" s="1"/>
  <c r="Z10" i="126" s="1"/>
  <c r="Q10" i="126" s="1"/>
  <c r="P10" i="126"/>
  <c r="R10" i="126" s="1"/>
  <c r="U12" i="126"/>
  <c r="X12" i="126" s="1"/>
  <c r="Y12" i="126" s="1"/>
  <c r="Z12" i="126" s="1"/>
  <c r="Q12" i="126" s="1"/>
  <c r="P12" i="126"/>
  <c r="R12" i="126" s="1"/>
  <c r="F13" i="126"/>
  <c r="F14" i="126"/>
  <c r="F15" i="126"/>
  <c r="F16" i="126"/>
  <c r="F17" i="126"/>
  <c r="F18" i="126"/>
  <c r="F19" i="126"/>
  <c r="F20" i="126"/>
  <c r="F21" i="126"/>
  <c r="F22" i="126"/>
  <c r="F23" i="126"/>
  <c r="F24" i="126"/>
  <c r="F25" i="126"/>
  <c r="F12" i="126"/>
  <c r="F11" i="126" l="1"/>
  <c r="P11" i="126"/>
  <c r="R11" i="126" s="1"/>
  <c r="P9" i="126"/>
  <c r="R9" i="126" s="1"/>
  <c r="F26" i="126"/>
  <c r="G12" i="126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l="1"/>
  <c r="S12" i="126"/>
  <c r="S11" i="126"/>
  <c r="S10" i="126"/>
  <c r="S9" i="126"/>
  <c r="S8" i="126"/>
  <c r="S7" i="126"/>
  <c r="S6" i="126"/>
  <c r="S5" i="126"/>
  <c r="S4" i="126"/>
  <c r="F31" i="126"/>
  <c r="W24" i="125" l="1"/>
  <c r="W31" i="125"/>
  <c r="W30" i="125"/>
  <c r="W27" i="125"/>
  <c r="V36" i="125"/>
  <c r="W22" i="125"/>
  <c r="F36" i="125"/>
  <c r="G33" i="125"/>
  <c r="C27" i="125"/>
  <c r="E24" i="125"/>
  <c r="E23" i="125"/>
  <c r="E22" i="125"/>
  <c r="E21" i="125"/>
  <c r="E20" i="125"/>
  <c r="E19" i="125"/>
  <c r="E18" i="125"/>
  <c r="E17" i="125"/>
  <c r="E16" i="125"/>
  <c r="E15" i="125"/>
  <c r="E14" i="125"/>
  <c r="E13" i="125"/>
  <c r="W12" i="125"/>
  <c r="V12" i="125"/>
  <c r="M12" i="125"/>
  <c r="N12" i="125" s="1"/>
  <c r="I12" i="125"/>
  <c r="E12" i="125"/>
  <c r="W11" i="125"/>
  <c r="V11" i="125"/>
  <c r="M11" i="125"/>
  <c r="N11" i="125" s="1"/>
  <c r="I11" i="125"/>
  <c r="E11" i="125"/>
  <c r="W10" i="125"/>
  <c r="V10" i="125"/>
  <c r="M10" i="125"/>
  <c r="N10" i="125" s="1"/>
  <c r="I10" i="125"/>
  <c r="W9" i="125"/>
  <c r="V9" i="125"/>
  <c r="M9" i="125"/>
  <c r="N9" i="125" s="1"/>
  <c r="I9" i="125"/>
  <c r="W8" i="125"/>
  <c r="V8" i="125"/>
  <c r="M8" i="125"/>
  <c r="N8" i="125" s="1"/>
  <c r="I8" i="125"/>
  <c r="W7" i="125"/>
  <c r="V7" i="125"/>
  <c r="M7" i="125"/>
  <c r="N7" i="125" s="1"/>
  <c r="I7" i="125"/>
  <c r="W6" i="125"/>
  <c r="V6" i="125"/>
  <c r="M6" i="125"/>
  <c r="N6" i="125" s="1"/>
  <c r="I6" i="125"/>
  <c r="AE5" i="125"/>
  <c r="W5" i="125"/>
  <c r="V5" i="125"/>
  <c r="M5" i="125"/>
  <c r="N5" i="125" s="1"/>
  <c r="I5" i="125"/>
  <c r="W4" i="125"/>
  <c r="V4" i="125"/>
  <c r="M4" i="125"/>
  <c r="N4" i="125" s="1"/>
  <c r="I4" i="125"/>
  <c r="E26" i="125" l="1"/>
  <c r="E27" i="125" s="1"/>
  <c r="F27" i="125" s="1"/>
  <c r="W33" i="125"/>
  <c r="F107" i="156"/>
  <c r="J107" i="156" s="1"/>
  <c r="X27" i="125"/>
  <c r="W32" i="125"/>
  <c r="U4" i="125"/>
  <c r="X4" i="125" s="1"/>
  <c r="Y4" i="125" s="1"/>
  <c r="Z4" i="125" s="1"/>
  <c r="Q4" i="125" s="1"/>
  <c r="P4" i="125"/>
  <c r="R4" i="125" s="1"/>
  <c r="U5" i="125"/>
  <c r="X5" i="125" s="1"/>
  <c r="Y5" i="125" s="1"/>
  <c r="Z5" i="125" s="1"/>
  <c r="Q5" i="125" s="1"/>
  <c r="P5" i="125"/>
  <c r="R5" i="125" s="1"/>
  <c r="U6" i="125"/>
  <c r="X6" i="125" s="1"/>
  <c r="Y6" i="125" s="1"/>
  <c r="Z6" i="125" s="1"/>
  <c r="Q6" i="125" s="1"/>
  <c r="P6" i="125"/>
  <c r="R6" i="125" s="1"/>
  <c r="U7" i="125"/>
  <c r="X7" i="125" s="1"/>
  <c r="Y7" i="125" s="1"/>
  <c r="Z7" i="125" s="1"/>
  <c r="Q7" i="125" s="1"/>
  <c r="P7" i="125"/>
  <c r="R7" i="125" s="1"/>
  <c r="U8" i="125"/>
  <c r="X8" i="125" s="1"/>
  <c r="Y8" i="125" s="1"/>
  <c r="Z8" i="125" s="1"/>
  <c r="Q8" i="125" s="1"/>
  <c r="P8" i="125"/>
  <c r="R8" i="125" s="1"/>
  <c r="U9" i="125"/>
  <c r="X9" i="125" s="1"/>
  <c r="Y9" i="125" s="1"/>
  <c r="Z9" i="125" s="1"/>
  <c r="Q9" i="125" s="1"/>
  <c r="P9" i="125"/>
  <c r="R9" i="125" s="1"/>
  <c r="U10" i="125"/>
  <c r="X10" i="125" s="1"/>
  <c r="Y10" i="125" s="1"/>
  <c r="Z10" i="125" s="1"/>
  <c r="Q10" i="125" s="1"/>
  <c r="P10" i="125"/>
  <c r="R10" i="125" s="1"/>
  <c r="U11" i="125"/>
  <c r="X11" i="125" s="1"/>
  <c r="Y11" i="125" s="1"/>
  <c r="Z11" i="125" s="1"/>
  <c r="Q11" i="125" s="1"/>
  <c r="P11" i="125"/>
  <c r="R11" i="125" s="1"/>
  <c r="U12" i="125"/>
  <c r="X12" i="125" s="1"/>
  <c r="Y12" i="125" s="1"/>
  <c r="Z12" i="125" s="1"/>
  <c r="Q12" i="125" s="1"/>
  <c r="P12" i="125"/>
  <c r="R12" i="125" s="1"/>
  <c r="F13" i="125"/>
  <c r="F14" i="125"/>
  <c r="F15" i="125"/>
  <c r="F16" i="125"/>
  <c r="F17" i="125"/>
  <c r="F18" i="125"/>
  <c r="F19" i="125"/>
  <c r="F20" i="125"/>
  <c r="F21" i="125"/>
  <c r="F22" i="125"/>
  <c r="F23" i="125"/>
  <c r="F24" i="125"/>
  <c r="F25" i="125"/>
  <c r="F12" i="125"/>
  <c r="F11" i="125" l="1"/>
  <c r="F26" i="125"/>
  <c r="G12" i="125"/>
  <c r="G13" i="125" s="1"/>
  <c r="G14" i="125" s="1"/>
  <c r="G15" i="125" s="1"/>
  <c r="G16" i="125" s="1"/>
  <c r="G17" i="125" s="1"/>
  <c r="G18" i="125" s="1"/>
  <c r="G19" i="125" s="1"/>
  <c r="G20" i="125" s="1"/>
  <c r="G21" i="125" s="1"/>
  <c r="G22" i="125" s="1"/>
  <c r="G23" i="125" s="1"/>
  <c r="G24" i="125" s="1"/>
  <c r="G25" i="125" l="1"/>
  <c r="S12" i="125"/>
  <c r="S11" i="125"/>
  <c r="S10" i="125"/>
  <c r="S9" i="125"/>
  <c r="S8" i="125"/>
  <c r="S7" i="125"/>
  <c r="S6" i="125"/>
  <c r="S5" i="125"/>
  <c r="S4" i="125"/>
  <c r="F31" i="125"/>
  <c r="W27" i="92" l="1"/>
  <c r="G30" i="156" s="1"/>
  <c r="W31" i="124"/>
  <c r="W30" i="124"/>
  <c r="W27" i="124"/>
  <c r="W24" i="124"/>
  <c r="W22" i="124"/>
  <c r="F36" i="124"/>
  <c r="G33" i="124"/>
  <c r="C27" i="124"/>
  <c r="E25" i="124"/>
  <c r="E24" i="124"/>
  <c r="E23" i="124"/>
  <c r="E22" i="124"/>
  <c r="E21" i="124"/>
  <c r="E20" i="124"/>
  <c r="E19" i="124"/>
  <c r="E18" i="124"/>
  <c r="E17" i="124"/>
  <c r="E16" i="124"/>
  <c r="E15" i="124"/>
  <c r="E14" i="124"/>
  <c r="E13" i="124"/>
  <c r="W12" i="124"/>
  <c r="V12" i="124"/>
  <c r="M12" i="124"/>
  <c r="N12" i="124" s="1"/>
  <c r="I12" i="124"/>
  <c r="E12" i="124"/>
  <c r="W11" i="124"/>
  <c r="V11" i="124"/>
  <c r="M11" i="124"/>
  <c r="N11" i="124" s="1"/>
  <c r="I11" i="124"/>
  <c r="E11" i="124"/>
  <c r="W10" i="124"/>
  <c r="V10" i="124"/>
  <c r="M10" i="124"/>
  <c r="N10" i="124" s="1"/>
  <c r="I10" i="124"/>
  <c r="W9" i="124"/>
  <c r="V9" i="124"/>
  <c r="M9" i="124"/>
  <c r="N9" i="124" s="1"/>
  <c r="I9" i="124"/>
  <c r="W8" i="124"/>
  <c r="V8" i="124"/>
  <c r="M8" i="124"/>
  <c r="N8" i="124" s="1"/>
  <c r="I8" i="124"/>
  <c r="W7" i="124"/>
  <c r="V7" i="124"/>
  <c r="M7" i="124"/>
  <c r="N7" i="124" s="1"/>
  <c r="I7" i="124"/>
  <c r="W6" i="124"/>
  <c r="V6" i="124"/>
  <c r="M6" i="124"/>
  <c r="N6" i="124" s="1"/>
  <c r="I6" i="124"/>
  <c r="AE5" i="124"/>
  <c r="W5" i="124"/>
  <c r="V5" i="124"/>
  <c r="M5" i="124"/>
  <c r="N5" i="124" s="1"/>
  <c r="I5" i="124"/>
  <c r="W4" i="124"/>
  <c r="V4" i="124"/>
  <c r="M4" i="124"/>
  <c r="N4" i="124" s="1"/>
  <c r="I4" i="124"/>
  <c r="W33" i="124" l="1"/>
  <c r="F103" i="156"/>
  <c r="J103" i="156" s="1"/>
  <c r="V36" i="124"/>
  <c r="F11" i="124"/>
  <c r="E26" i="124"/>
  <c r="E27" i="124" s="1"/>
  <c r="F27" i="124" s="1"/>
  <c r="X27" i="124"/>
  <c r="W32" i="124"/>
  <c r="U4" i="124"/>
  <c r="X4" i="124" s="1"/>
  <c r="Y4" i="124" s="1"/>
  <c r="Z4" i="124" s="1"/>
  <c r="Q4" i="124" s="1"/>
  <c r="P4" i="124"/>
  <c r="R4" i="124" s="1"/>
  <c r="U5" i="124"/>
  <c r="X5" i="124" s="1"/>
  <c r="Y5" i="124" s="1"/>
  <c r="Z5" i="124" s="1"/>
  <c r="Q5" i="124" s="1"/>
  <c r="P5" i="124"/>
  <c r="R5" i="124" s="1"/>
  <c r="U6" i="124"/>
  <c r="X6" i="124" s="1"/>
  <c r="Y6" i="124" s="1"/>
  <c r="Z6" i="124" s="1"/>
  <c r="Q6" i="124" s="1"/>
  <c r="P6" i="124"/>
  <c r="R6" i="124" s="1"/>
  <c r="U7" i="124"/>
  <c r="X7" i="124" s="1"/>
  <c r="Y7" i="124" s="1"/>
  <c r="Z7" i="124" s="1"/>
  <c r="Q7" i="124" s="1"/>
  <c r="P7" i="124"/>
  <c r="R7" i="124" s="1"/>
  <c r="U8" i="124"/>
  <c r="X8" i="124" s="1"/>
  <c r="Y8" i="124" s="1"/>
  <c r="Z8" i="124" s="1"/>
  <c r="Q8" i="124" s="1"/>
  <c r="P8" i="124"/>
  <c r="R8" i="124" s="1"/>
  <c r="U9" i="124"/>
  <c r="X9" i="124" s="1"/>
  <c r="Y9" i="124" s="1"/>
  <c r="Z9" i="124" s="1"/>
  <c r="Q9" i="124" s="1"/>
  <c r="P9" i="124"/>
  <c r="R9" i="124" s="1"/>
  <c r="U10" i="124"/>
  <c r="X10" i="124" s="1"/>
  <c r="Y10" i="124" s="1"/>
  <c r="Z10" i="124" s="1"/>
  <c r="Q10" i="124" s="1"/>
  <c r="P10" i="124"/>
  <c r="R10" i="124" s="1"/>
  <c r="U11" i="124"/>
  <c r="X11" i="124" s="1"/>
  <c r="Y11" i="124" s="1"/>
  <c r="Z11" i="124" s="1"/>
  <c r="Q11" i="124" s="1"/>
  <c r="P11" i="124"/>
  <c r="R11" i="124" s="1"/>
  <c r="U12" i="124"/>
  <c r="X12" i="124" s="1"/>
  <c r="Y12" i="124" s="1"/>
  <c r="Z12" i="124" s="1"/>
  <c r="Q12" i="124" s="1"/>
  <c r="P12" i="124"/>
  <c r="R12" i="124" s="1"/>
  <c r="F13" i="124"/>
  <c r="F14" i="124"/>
  <c r="F15" i="124"/>
  <c r="F16" i="124"/>
  <c r="F17" i="124"/>
  <c r="F18" i="124"/>
  <c r="F19" i="124"/>
  <c r="F20" i="124"/>
  <c r="F21" i="124"/>
  <c r="F22" i="124"/>
  <c r="F23" i="124"/>
  <c r="F24" i="124"/>
  <c r="F25" i="124"/>
  <c r="F12" i="124"/>
  <c r="F26" i="124" l="1"/>
  <c r="G12" i="124"/>
  <c r="G13" i="124" s="1"/>
  <c r="G14" i="124" s="1"/>
  <c r="G15" i="124" s="1"/>
  <c r="G16" i="124" s="1"/>
  <c r="G17" i="124" s="1"/>
  <c r="G18" i="124" s="1"/>
  <c r="G19" i="124" s="1"/>
  <c r="G20" i="124" s="1"/>
  <c r="G21" i="124" s="1"/>
  <c r="G22" i="124" s="1"/>
  <c r="G23" i="124" s="1"/>
  <c r="G24" i="124" s="1"/>
  <c r="G25" i="124" l="1"/>
  <c r="S12" i="124"/>
  <c r="S11" i="124"/>
  <c r="S10" i="124"/>
  <c r="S9" i="124"/>
  <c r="S8" i="124"/>
  <c r="S7" i="124"/>
  <c r="S6" i="124"/>
  <c r="S5" i="124"/>
  <c r="S4" i="124"/>
  <c r="F31" i="124"/>
  <c r="W31" i="123" l="1"/>
  <c r="W30" i="123"/>
  <c r="W27" i="123"/>
  <c r="W24" i="123"/>
  <c r="W22" i="123"/>
  <c r="F36" i="123"/>
  <c r="G33" i="123"/>
  <c r="C27" i="123"/>
  <c r="E25" i="123"/>
  <c r="E24" i="123"/>
  <c r="E23" i="123"/>
  <c r="E22" i="123"/>
  <c r="E21" i="123"/>
  <c r="E20" i="123"/>
  <c r="E19" i="123"/>
  <c r="E18" i="123"/>
  <c r="E17" i="123"/>
  <c r="E16" i="123"/>
  <c r="E15" i="123"/>
  <c r="E14" i="123"/>
  <c r="E13" i="123"/>
  <c r="W12" i="123"/>
  <c r="V12" i="123"/>
  <c r="M12" i="123"/>
  <c r="I12" i="123"/>
  <c r="E12" i="123"/>
  <c r="W11" i="123"/>
  <c r="V11" i="123"/>
  <c r="M11" i="123"/>
  <c r="I11" i="123"/>
  <c r="E11" i="123"/>
  <c r="W10" i="123"/>
  <c r="V10" i="123"/>
  <c r="M10" i="123"/>
  <c r="I10" i="123"/>
  <c r="W9" i="123"/>
  <c r="V9" i="123"/>
  <c r="M9" i="123"/>
  <c r="I9" i="123"/>
  <c r="W8" i="123"/>
  <c r="V8" i="123"/>
  <c r="M8" i="123"/>
  <c r="I8" i="123"/>
  <c r="W7" i="123"/>
  <c r="V7" i="123"/>
  <c r="M7" i="123"/>
  <c r="I7" i="123"/>
  <c r="W6" i="123"/>
  <c r="V6" i="123"/>
  <c r="M6" i="123"/>
  <c r="I6" i="123"/>
  <c r="AE5" i="123"/>
  <c r="W5" i="123"/>
  <c r="V5" i="123"/>
  <c r="M5" i="123"/>
  <c r="N5" i="123" s="1"/>
  <c r="I5" i="123"/>
  <c r="W4" i="123"/>
  <c r="V4" i="123"/>
  <c r="M4" i="123"/>
  <c r="N4" i="123" s="1"/>
  <c r="I4" i="123"/>
  <c r="N6" i="123" l="1"/>
  <c r="N7" i="123"/>
  <c r="N8" i="123"/>
  <c r="U8" i="123" s="1"/>
  <c r="X8" i="123" s="1"/>
  <c r="Y8" i="123" s="1"/>
  <c r="Z8" i="123" s="1"/>
  <c r="Q8" i="123" s="1"/>
  <c r="N9" i="123"/>
  <c r="N10" i="123"/>
  <c r="E26" i="123"/>
  <c r="E27" i="123" s="1"/>
  <c r="F27" i="123" s="1"/>
  <c r="N11" i="123"/>
  <c r="U11" i="123" s="1"/>
  <c r="X11" i="123" s="1"/>
  <c r="Y11" i="123" s="1"/>
  <c r="Z11" i="123" s="1"/>
  <c r="Q11" i="123" s="1"/>
  <c r="W33" i="123"/>
  <c r="N12" i="123"/>
  <c r="U12" i="123" s="1"/>
  <c r="X12" i="123" s="1"/>
  <c r="Y12" i="123" s="1"/>
  <c r="Z12" i="123" s="1"/>
  <c r="Q12" i="123" s="1"/>
  <c r="F71" i="156"/>
  <c r="J71" i="156" s="1"/>
  <c r="V36" i="123"/>
  <c r="X27" i="123"/>
  <c r="W32" i="123"/>
  <c r="U4" i="123"/>
  <c r="X4" i="123" s="1"/>
  <c r="Y4" i="123" s="1"/>
  <c r="Z4" i="123" s="1"/>
  <c r="Q4" i="123" s="1"/>
  <c r="P4" i="123"/>
  <c r="R4" i="123" s="1"/>
  <c r="U5" i="123"/>
  <c r="X5" i="123" s="1"/>
  <c r="Y5" i="123" s="1"/>
  <c r="Z5" i="123" s="1"/>
  <c r="Q5" i="123" s="1"/>
  <c r="P5" i="123"/>
  <c r="R5" i="123" s="1"/>
  <c r="U6" i="123"/>
  <c r="X6" i="123" s="1"/>
  <c r="Y6" i="123" s="1"/>
  <c r="Z6" i="123" s="1"/>
  <c r="Q6" i="123" s="1"/>
  <c r="P6" i="123"/>
  <c r="R6" i="123" s="1"/>
  <c r="U7" i="123"/>
  <c r="X7" i="123" s="1"/>
  <c r="Y7" i="123" s="1"/>
  <c r="Z7" i="123" s="1"/>
  <c r="Q7" i="123" s="1"/>
  <c r="P7" i="123"/>
  <c r="R7" i="123" s="1"/>
  <c r="U9" i="123"/>
  <c r="X9" i="123" s="1"/>
  <c r="Y9" i="123" s="1"/>
  <c r="Z9" i="123" s="1"/>
  <c r="Q9" i="123" s="1"/>
  <c r="P9" i="123"/>
  <c r="R9" i="123" s="1"/>
  <c r="U10" i="123"/>
  <c r="X10" i="123" s="1"/>
  <c r="Y10" i="123" s="1"/>
  <c r="Z10" i="123" s="1"/>
  <c r="Q10" i="123" s="1"/>
  <c r="P10" i="123"/>
  <c r="R10" i="123" s="1"/>
  <c r="P11" i="123"/>
  <c r="R11" i="123" s="1"/>
  <c r="F13" i="123"/>
  <c r="F14" i="123"/>
  <c r="F15" i="123"/>
  <c r="F16" i="123"/>
  <c r="F17" i="123"/>
  <c r="F18" i="123"/>
  <c r="F19" i="123"/>
  <c r="F20" i="123"/>
  <c r="F21" i="123"/>
  <c r="F22" i="123"/>
  <c r="F23" i="123"/>
  <c r="F24" i="123"/>
  <c r="F25" i="123"/>
  <c r="F12" i="123"/>
  <c r="P12" i="123" l="1"/>
  <c r="R12" i="123" s="1"/>
  <c r="P8" i="123"/>
  <c r="R8" i="123" s="1"/>
  <c r="F11" i="123"/>
  <c r="F26" i="123"/>
  <c r="G12" i="123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l="1"/>
  <c r="S12" i="123"/>
  <c r="S11" i="123"/>
  <c r="S10" i="123"/>
  <c r="S9" i="123"/>
  <c r="S8" i="123"/>
  <c r="S7" i="123"/>
  <c r="S6" i="123"/>
  <c r="S5" i="123"/>
  <c r="S4" i="123"/>
  <c r="F31" i="123"/>
  <c r="W31" i="122" l="1"/>
  <c r="W30" i="122"/>
  <c r="W27" i="122"/>
  <c r="W24" i="122"/>
  <c r="W22" i="122"/>
  <c r="F36" i="122"/>
  <c r="G33" i="122"/>
  <c r="C27" i="122"/>
  <c r="E25" i="122"/>
  <c r="E24" i="122"/>
  <c r="E23" i="122"/>
  <c r="E22" i="122"/>
  <c r="E21" i="122"/>
  <c r="E20" i="122"/>
  <c r="E19" i="122"/>
  <c r="E18" i="122"/>
  <c r="E17" i="122"/>
  <c r="E16" i="122"/>
  <c r="E15" i="122"/>
  <c r="E14" i="122"/>
  <c r="E13" i="122"/>
  <c r="W12" i="122"/>
  <c r="V12" i="122"/>
  <c r="M12" i="122"/>
  <c r="N12" i="122" s="1"/>
  <c r="I12" i="122"/>
  <c r="E12" i="122"/>
  <c r="W11" i="122"/>
  <c r="V11" i="122"/>
  <c r="M11" i="122"/>
  <c r="N11" i="122" s="1"/>
  <c r="I11" i="122"/>
  <c r="E11" i="122"/>
  <c r="W10" i="122"/>
  <c r="V10" i="122"/>
  <c r="M10" i="122"/>
  <c r="N10" i="122" s="1"/>
  <c r="I10" i="122"/>
  <c r="W9" i="122"/>
  <c r="V9" i="122"/>
  <c r="M9" i="122"/>
  <c r="N9" i="122" s="1"/>
  <c r="I9" i="122"/>
  <c r="W8" i="122"/>
  <c r="V8" i="122"/>
  <c r="M8" i="122"/>
  <c r="N8" i="122" s="1"/>
  <c r="I8" i="122"/>
  <c r="W7" i="122"/>
  <c r="V7" i="122"/>
  <c r="M7" i="122"/>
  <c r="N7" i="122" s="1"/>
  <c r="I7" i="122"/>
  <c r="W6" i="122"/>
  <c r="V6" i="122"/>
  <c r="M6" i="122"/>
  <c r="N6" i="122" s="1"/>
  <c r="I6" i="122"/>
  <c r="AE5" i="122"/>
  <c r="W5" i="122"/>
  <c r="V5" i="122"/>
  <c r="M5" i="122"/>
  <c r="N5" i="122" s="1"/>
  <c r="I5" i="122"/>
  <c r="W4" i="122"/>
  <c r="V4" i="122"/>
  <c r="M4" i="122"/>
  <c r="N4" i="122" s="1"/>
  <c r="I4" i="122"/>
  <c r="F70" i="156" l="1"/>
  <c r="J70" i="156" s="1"/>
  <c r="V36" i="122"/>
  <c r="W33" i="122"/>
  <c r="E26" i="122"/>
  <c r="E27" i="122" s="1"/>
  <c r="F27" i="122" s="1"/>
  <c r="X27" i="122"/>
  <c r="W32" i="122"/>
  <c r="U4" i="122"/>
  <c r="X4" i="122" s="1"/>
  <c r="Y4" i="122" s="1"/>
  <c r="Z4" i="122" s="1"/>
  <c r="Q4" i="122" s="1"/>
  <c r="P4" i="122"/>
  <c r="R4" i="122" s="1"/>
  <c r="U5" i="122"/>
  <c r="X5" i="122" s="1"/>
  <c r="Y5" i="122" s="1"/>
  <c r="Z5" i="122" s="1"/>
  <c r="Q5" i="122" s="1"/>
  <c r="P5" i="122"/>
  <c r="R5" i="122" s="1"/>
  <c r="U6" i="122"/>
  <c r="X6" i="122" s="1"/>
  <c r="Y6" i="122" s="1"/>
  <c r="Z6" i="122" s="1"/>
  <c r="Q6" i="122" s="1"/>
  <c r="P6" i="122"/>
  <c r="R6" i="122" s="1"/>
  <c r="U7" i="122"/>
  <c r="X7" i="122" s="1"/>
  <c r="Y7" i="122" s="1"/>
  <c r="Z7" i="122" s="1"/>
  <c r="Q7" i="122" s="1"/>
  <c r="P7" i="122"/>
  <c r="R7" i="122" s="1"/>
  <c r="U8" i="122"/>
  <c r="X8" i="122" s="1"/>
  <c r="Y8" i="122" s="1"/>
  <c r="Z8" i="122" s="1"/>
  <c r="Q8" i="122" s="1"/>
  <c r="P8" i="122"/>
  <c r="R8" i="122" s="1"/>
  <c r="U9" i="122"/>
  <c r="X9" i="122" s="1"/>
  <c r="Y9" i="122" s="1"/>
  <c r="Z9" i="122" s="1"/>
  <c r="Q9" i="122" s="1"/>
  <c r="P9" i="122"/>
  <c r="R9" i="122" s="1"/>
  <c r="U10" i="122"/>
  <c r="X10" i="122" s="1"/>
  <c r="Y10" i="122" s="1"/>
  <c r="Z10" i="122" s="1"/>
  <c r="Q10" i="122" s="1"/>
  <c r="P10" i="122"/>
  <c r="R10" i="122" s="1"/>
  <c r="U11" i="122"/>
  <c r="X11" i="122" s="1"/>
  <c r="Y11" i="122" s="1"/>
  <c r="Z11" i="122" s="1"/>
  <c r="Q11" i="122" s="1"/>
  <c r="P11" i="122"/>
  <c r="R11" i="122" s="1"/>
  <c r="U12" i="122"/>
  <c r="X12" i="122" s="1"/>
  <c r="Y12" i="122" s="1"/>
  <c r="Z12" i="122" s="1"/>
  <c r="Q12" i="122" s="1"/>
  <c r="P12" i="122"/>
  <c r="R12" i="122" s="1"/>
  <c r="F13" i="122"/>
  <c r="F15" i="122"/>
  <c r="F17" i="122"/>
  <c r="F19" i="122"/>
  <c r="F21" i="122"/>
  <c r="F23" i="122"/>
  <c r="F25" i="122"/>
  <c r="F12" i="122" l="1"/>
  <c r="F22" i="122"/>
  <c r="F18" i="122"/>
  <c r="F14" i="122"/>
  <c r="F26" i="122" s="1"/>
  <c r="F11" i="122"/>
  <c r="F24" i="122"/>
  <c r="F20" i="122"/>
  <c r="F16" i="122"/>
  <c r="G12" i="122"/>
  <c r="G13" i="122" s="1"/>
  <c r="G14" i="122" l="1"/>
  <c r="G15" i="122" s="1"/>
  <c r="G16" i="122" s="1"/>
  <c r="G17" i="122" s="1"/>
  <c r="G18" i="122" s="1"/>
  <c r="G19" i="122" s="1"/>
  <c r="G20" i="122" s="1"/>
  <c r="G21" i="122" s="1"/>
  <c r="G22" i="122" s="1"/>
  <c r="G23" i="122" s="1"/>
  <c r="G24" i="122" s="1"/>
  <c r="G25" i="122" s="1"/>
  <c r="S6" i="122" l="1"/>
  <c r="S10" i="122"/>
  <c r="S7" i="122"/>
  <c r="S12" i="122"/>
  <c r="F31" i="122"/>
  <c r="S11" i="122"/>
  <c r="S4" i="122"/>
  <c r="S8" i="122"/>
  <c r="S5" i="122"/>
  <c r="S9" i="122"/>
  <c r="W31" i="120"/>
  <c r="W30" i="120"/>
  <c r="W27" i="120"/>
  <c r="W24" i="120"/>
  <c r="W22" i="120"/>
  <c r="F36" i="120"/>
  <c r="G33" i="120"/>
  <c r="C27" i="120"/>
  <c r="E25" i="120"/>
  <c r="E24" i="120"/>
  <c r="E23" i="120"/>
  <c r="E22" i="120"/>
  <c r="E21" i="120"/>
  <c r="E20" i="120"/>
  <c r="E19" i="120"/>
  <c r="E18" i="120"/>
  <c r="E17" i="120"/>
  <c r="E16" i="120"/>
  <c r="E15" i="120"/>
  <c r="E14" i="120"/>
  <c r="E13" i="120"/>
  <c r="W12" i="120"/>
  <c r="V12" i="120"/>
  <c r="M12" i="120"/>
  <c r="I12" i="120"/>
  <c r="E12" i="120"/>
  <c r="W11" i="120"/>
  <c r="V11" i="120"/>
  <c r="M11" i="120"/>
  <c r="I11" i="120"/>
  <c r="E11" i="120"/>
  <c r="W10" i="120"/>
  <c r="V10" i="120"/>
  <c r="M10" i="120"/>
  <c r="I10" i="120"/>
  <c r="W9" i="120"/>
  <c r="V9" i="120"/>
  <c r="M9" i="120"/>
  <c r="I9" i="120"/>
  <c r="W8" i="120"/>
  <c r="V8" i="120"/>
  <c r="M8" i="120"/>
  <c r="I8" i="120"/>
  <c r="W7" i="120"/>
  <c r="V7" i="120"/>
  <c r="M7" i="120"/>
  <c r="I7" i="120"/>
  <c r="W6" i="120"/>
  <c r="V6" i="120"/>
  <c r="M6" i="120"/>
  <c r="I6" i="120"/>
  <c r="AE5" i="120"/>
  <c r="W5" i="120"/>
  <c r="V5" i="120"/>
  <c r="M5" i="120"/>
  <c r="N5" i="120" s="1"/>
  <c r="I5" i="120"/>
  <c r="W4" i="120"/>
  <c r="V4" i="120"/>
  <c r="M4" i="120"/>
  <c r="N4" i="120" s="1"/>
  <c r="I4" i="120"/>
  <c r="N6" i="120" l="1"/>
  <c r="N7" i="120"/>
  <c r="N8" i="120"/>
  <c r="N9" i="120"/>
  <c r="U9" i="120" s="1"/>
  <c r="X9" i="120" s="1"/>
  <c r="Y9" i="120" s="1"/>
  <c r="Z9" i="120" s="1"/>
  <c r="Q9" i="120" s="1"/>
  <c r="N10" i="120"/>
  <c r="E26" i="120"/>
  <c r="E27" i="120" s="1"/>
  <c r="F27" i="120" s="1"/>
  <c r="F11" i="120"/>
  <c r="N11" i="120"/>
  <c r="U11" i="120" s="1"/>
  <c r="X11" i="120" s="1"/>
  <c r="Y11" i="120" s="1"/>
  <c r="Z11" i="120" s="1"/>
  <c r="Q11" i="120" s="1"/>
  <c r="W33" i="120"/>
  <c r="N12" i="120"/>
  <c r="P12" i="120" s="1"/>
  <c r="R12" i="120" s="1"/>
  <c r="V36" i="120"/>
  <c r="F52" i="156"/>
  <c r="J52" i="156" s="1"/>
  <c r="X27" i="120"/>
  <c r="W32" i="120"/>
  <c r="U4" i="120"/>
  <c r="X4" i="120" s="1"/>
  <c r="Y4" i="120" s="1"/>
  <c r="Z4" i="120" s="1"/>
  <c r="Q4" i="120" s="1"/>
  <c r="P4" i="120"/>
  <c r="R4" i="120" s="1"/>
  <c r="U5" i="120"/>
  <c r="X5" i="120" s="1"/>
  <c r="Y5" i="120" s="1"/>
  <c r="Z5" i="120" s="1"/>
  <c r="Q5" i="120" s="1"/>
  <c r="P5" i="120"/>
  <c r="R5" i="120" s="1"/>
  <c r="U6" i="120"/>
  <c r="X6" i="120" s="1"/>
  <c r="Y6" i="120" s="1"/>
  <c r="Z6" i="120" s="1"/>
  <c r="Q6" i="120" s="1"/>
  <c r="P6" i="120"/>
  <c r="R6" i="120" s="1"/>
  <c r="U7" i="120"/>
  <c r="X7" i="120" s="1"/>
  <c r="Y7" i="120" s="1"/>
  <c r="Z7" i="120" s="1"/>
  <c r="Q7" i="120" s="1"/>
  <c r="P7" i="120"/>
  <c r="R7" i="120" s="1"/>
  <c r="U8" i="120"/>
  <c r="X8" i="120" s="1"/>
  <c r="Y8" i="120" s="1"/>
  <c r="Z8" i="120" s="1"/>
  <c r="Q8" i="120" s="1"/>
  <c r="P8" i="120"/>
  <c r="R8" i="120" s="1"/>
  <c r="P9" i="120"/>
  <c r="R9" i="120" s="1"/>
  <c r="U10" i="120"/>
  <c r="X10" i="120" s="1"/>
  <c r="Y10" i="120" s="1"/>
  <c r="Z10" i="120" s="1"/>
  <c r="Q10" i="120" s="1"/>
  <c r="P10" i="120"/>
  <c r="R10" i="120" s="1"/>
  <c r="P11" i="120"/>
  <c r="R11" i="120" s="1"/>
  <c r="U12" i="120"/>
  <c r="X12" i="120" s="1"/>
  <c r="Y12" i="120" s="1"/>
  <c r="Z12" i="120" s="1"/>
  <c r="Q12" i="120" s="1"/>
  <c r="F13" i="120"/>
  <c r="F14" i="120"/>
  <c r="F15" i="120"/>
  <c r="F16" i="120"/>
  <c r="F17" i="120"/>
  <c r="F18" i="120"/>
  <c r="F19" i="120"/>
  <c r="F20" i="120"/>
  <c r="F21" i="120"/>
  <c r="F22" i="120"/>
  <c r="F23" i="120"/>
  <c r="F24" i="120"/>
  <c r="F25" i="120"/>
  <c r="F12" i="120"/>
  <c r="F26" i="120" l="1"/>
  <c r="G12" i="120"/>
  <c r="G13" i="120" s="1"/>
  <c r="G14" i="120" s="1"/>
  <c r="G15" i="120" s="1"/>
  <c r="G16" i="120" s="1"/>
  <c r="G17" i="120" s="1"/>
  <c r="G18" i="120" s="1"/>
  <c r="G19" i="120" s="1"/>
  <c r="G20" i="120" s="1"/>
  <c r="G21" i="120" s="1"/>
  <c r="G22" i="120" s="1"/>
  <c r="G23" i="120" s="1"/>
  <c r="G24" i="120" s="1"/>
  <c r="G25" i="120" l="1"/>
  <c r="S12" i="120"/>
  <c r="S11" i="120"/>
  <c r="S10" i="120"/>
  <c r="S9" i="120"/>
  <c r="S8" i="120"/>
  <c r="S7" i="120"/>
  <c r="S6" i="120"/>
  <c r="S5" i="120"/>
  <c r="S4" i="120"/>
  <c r="F31" i="120"/>
  <c r="S13" i="120" l="1"/>
  <c r="T11" i="120" s="1"/>
  <c r="W24" i="109"/>
  <c r="W31" i="72"/>
  <c r="W30" i="72"/>
  <c r="W27" i="72"/>
  <c r="W24" i="72"/>
  <c r="W22" i="72"/>
  <c r="W31" i="71"/>
  <c r="W27" i="71"/>
  <c r="W24" i="71"/>
  <c r="W22" i="71"/>
  <c r="W31" i="70"/>
  <c r="W30" i="70"/>
  <c r="W27" i="70"/>
  <c r="W24" i="70"/>
  <c r="W22" i="70"/>
  <c r="W31" i="69"/>
  <c r="W30" i="69"/>
  <c r="W27" i="69"/>
  <c r="W24" i="69"/>
  <c r="W22" i="69"/>
  <c r="W31" i="68"/>
  <c r="W30" i="68"/>
  <c r="W27" i="68"/>
  <c r="W24" i="68"/>
  <c r="W22" i="68"/>
  <c r="W31" i="67"/>
  <c r="W30" i="67"/>
  <c r="W27" i="67"/>
  <c r="W24" i="67"/>
  <c r="W22" i="67"/>
  <c r="W31" i="66"/>
  <c r="W30" i="66"/>
  <c r="W27" i="66"/>
  <c r="W24" i="66"/>
  <c r="W22" i="66"/>
  <c r="F36" i="118"/>
  <c r="G33" i="118"/>
  <c r="W30" i="118"/>
  <c r="W27" i="118"/>
  <c r="C27" i="118"/>
  <c r="E26" i="118"/>
  <c r="E27" i="118" s="1"/>
  <c r="F27" i="118" s="1"/>
  <c r="W24" i="118"/>
  <c r="F24" i="118"/>
  <c r="F23" i="118"/>
  <c r="W22" i="118"/>
  <c r="F22" i="118"/>
  <c r="F21" i="118"/>
  <c r="F20" i="118"/>
  <c r="F18" i="118"/>
  <c r="F17" i="118"/>
  <c r="F16" i="118"/>
  <c r="F15" i="118"/>
  <c r="F14" i="118"/>
  <c r="F13" i="118"/>
  <c r="W12" i="118"/>
  <c r="V12" i="118"/>
  <c r="M12" i="118"/>
  <c r="N12" i="118" s="1"/>
  <c r="I12" i="118"/>
  <c r="F12" i="118"/>
  <c r="W11" i="118"/>
  <c r="V11" i="118"/>
  <c r="M11" i="118"/>
  <c r="N11" i="118" s="1"/>
  <c r="I11" i="118"/>
  <c r="F11" i="118"/>
  <c r="W10" i="118"/>
  <c r="V10" i="118"/>
  <c r="M10" i="118"/>
  <c r="N10" i="118" s="1"/>
  <c r="I10" i="118"/>
  <c r="W9" i="118"/>
  <c r="V9" i="118"/>
  <c r="M9" i="118"/>
  <c r="N9" i="118" s="1"/>
  <c r="I9" i="118"/>
  <c r="W8" i="118"/>
  <c r="V8" i="118"/>
  <c r="M8" i="118"/>
  <c r="N8" i="118" s="1"/>
  <c r="I8" i="118"/>
  <c r="W7" i="118"/>
  <c r="V7" i="118"/>
  <c r="M7" i="118"/>
  <c r="N7" i="118" s="1"/>
  <c r="I7" i="118"/>
  <c r="W6" i="118"/>
  <c r="V6" i="118"/>
  <c r="M6" i="118"/>
  <c r="N6" i="118" s="1"/>
  <c r="I6" i="118"/>
  <c r="AE5" i="118"/>
  <c r="W5" i="118"/>
  <c r="V5" i="118"/>
  <c r="M5" i="118"/>
  <c r="N5" i="118" s="1"/>
  <c r="I5" i="118"/>
  <c r="W4" i="118"/>
  <c r="V4" i="118"/>
  <c r="M4" i="118"/>
  <c r="N4" i="118" s="1"/>
  <c r="I4" i="118"/>
  <c r="W33" i="70" l="1"/>
  <c r="T8" i="120"/>
  <c r="F19" i="118"/>
  <c r="W33" i="118"/>
  <c r="F25" i="118"/>
  <c r="F2" i="156"/>
  <c r="J2" i="156" s="1"/>
  <c r="V36" i="66"/>
  <c r="W33" i="67"/>
  <c r="F6" i="156"/>
  <c r="J6" i="156" s="1"/>
  <c r="V36" i="70"/>
  <c r="W33" i="71"/>
  <c r="W33" i="72"/>
  <c r="T4" i="120"/>
  <c r="T7" i="120"/>
  <c r="W33" i="66"/>
  <c r="F49" i="156"/>
  <c r="J49" i="156" s="1"/>
  <c r="V36" i="109"/>
  <c r="F26" i="118"/>
  <c r="F3" i="156"/>
  <c r="J3" i="156" s="1"/>
  <c r="V36" i="67"/>
  <c r="W33" i="68"/>
  <c r="F7" i="156"/>
  <c r="J7" i="156" s="1"/>
  <c r="V36" i="71"/>
  <c r="F8" i="156"/>
  <c r="J8" i="156" s="1"/>
  <c r="V36" i="72"/>
  <c r="T9" i="120"/>
  <c r="T6" i="120"/>
  <c r="T10" i="120"/>
  <c r="F60" i="156"/>
  <c r="J60" i="156" s="1"/>
  <c r="V36" i="118"/>
  <c r="F5" i="156"/>
  <c r="J5" i="156" s="1"/>
  <c r="V36" i="69"/>
  <c r="F4" i="156"/>
  <c r="J4" i="156" s="1"/>
  <c r="V36" i="68"/>
  <c r="W33" i="69"/>
  <c r="T5" i="120"/>
  <c r="T12" i="120"/>
  <c r="X27" i="72"/>
  <c r="W32" i="72"/>
  <c r="X27" i="71"/>
  <c r="W32" i="71"/>
  <c r="X27" i="70"/>
  <c r="W32" i="70"/>
  <c r="X27" i="69"/>
  <c r="W32" i="69"/>
  <c r="X27" i="68"/>
  <c r="W32" i="68"/>
  <c r="X27" i="67"/>
  <c r="W32" i="67"/>
  <c r="X27" i="66"/>
  <c r="W32" i="66"/>
  <c r="U4" i="118"/>
  <c r="X4" i="118" s="1"/>
  <c r="Y4" i="118" s="1"/>
  <c r="Z4" i="118" s="1"/>
  <c r="Q4" i="118" s="1"/>
  <c r="P4" i="118"/>
  <c r="R4" i="118" s="1"/>
  <c r="U5" i="118"/>
  <c r="X5" i="118" s="1"/>
  <c r="Y5" i="118" s="1"/>
  <c r="Z5" i="118" s="1"/>
  <c r="Q5" i="118" s="1"/>
  <c r="P5" i="118"/>
  <c r="R5" i="118" s="1"/>
  <c r="U6" i="118"/>
  <c r="X6" i="118" s="1"/>
  <c r="Y6" i="118" s="1"/>
  <c r="Z6" i="118" s="1"/>
  <c r="Q6" i="118" s="1"/>
  <c r="P6" i="118"/>
  <c r="R6" i="118" s="1"/>
  <c r="U7" i="118"/>
  <c r="X7" i="118" s="1"/>
  <c r="Y7" i="118" s="1"/>
  <c r="Z7" i="118" s="1"/>
  <c r="Q7" i="118" s="1"/>
  <c r="P7" i="118"/>
  <c r="R7" i="118" s="1"/>
  <c r="U8" i="118"/>
  <c r="X8" i="118" s="1"/>
  <c r="Y8" i="118" s="1"/>
  <c r="Z8" i="118" s="1"/>
  <c r="Q8" i="118" s="1"/>
  <c r="P8" i="118"/>
  <c r="R8" i="118" s="1"/>
  <c r="U9" i="118"/>
  <c r="X9" i="118" s="1"/>
  <c r="Y9" i="118" s="1"/>
  <c r="Z9" i="118" s="1"/>
  <c r="Q9" i="118" s="1"/>
  <c r="P9" i="118"/>
  <c r="R9" i="118" s="1"/>
  <c r="U10" i="118"/>
  <c r="X10" i="118" s="1"/>
  <c r="Y10" i="118" s="1"/>
  <c r="Z10" i="118" s="1"/>
  <c r="Q10" i="118" s="1"/>
  <c r="P10" i="118"/>
  <c r="R10" i="118" s="1"/>
  <c r="U11" i="118"/>
  <c r="X11" i="118" s="1"/>
  <c r="Y11" i="118" s="1"/>
  <c r="Z11" i="118" s="1"/>
  <c r="Q11" i="118" s="1"/>
  <c r="P11" i="118"/>
  <c r="R11" i="118" s="1"/>
  <c r="U12" i="118"/>
  <c r="X12" i="118" s="1"/>
  <c r="Y12" i="118" s="1"/>
  <c r="Z12" i="118" s="1"/>
  <c r="Q12" i="118" s="1"/>
  <c r="P12" i="118"/>
  <c r="R12" i="118" s="1"/>
  <c r="G12" i="118"/>
  <c r="G13" i="118" s="1"/>
  <c r="G14" i="118" s="1"/>
  <c r="G15" i="118" s="1"/>
  <c r="G16" i="118" s="1"/>
  <c r="G17" i="118" s="1"/>
  <c r="G18" i="118" s="1"/>
  <c r="G19" i="118" s="1"/>
  <c r="G20" i="118" s="1"/>
  <c r="G21" i="118" s="1"/>
  <c r="G22" i="118" s="1"/>
  <c r="G23" i="118" s="1"/>
  <c r="G24" i="118" s="1"/>
  <c r="X27" i="118"/>
  <c r="W32" i="118"/>
  <c r="G25" i="118" l="1"/>
  <c r="S12" i="118"/>
  <c r="S11" i="118"/>
  <c r="S10" i="118"/>
  <c r="S9" i="118"/>
  <c r="S8" i="118"/>
  <c r="S7" i="118"/>
  <c r="S6" i="118"/>
  <c r="S5" i="118"/>
  <c r="S4" i="118"/>
  <c r="F31" i="118"/>
  <c r="F36" i="117" l="1"/>
  <c r="G33" i="117"/>
  <c r="W31" i="117"/>
  <c r="W30" i="117"/>
  <c r="W27" i="117"/>
  <c r="C27" i="117"/>
  <c r="E26" i="117"/>
  <c r="E27" i="117" s="1"/>
  <c r="F27" i="117" s="1"/>
  <c r="F25" i="117"/>
  <c r="W24" i="117"/>
  <c r="F59" i="156" s="1"/>
  <c r="J59" i="156" s="1"/>
  <c r="F23" i="117"/>
  <c r="W22" i="117"/>
  <c r="F22" i="117"/>
  <c r="F20" i="117"/>
  <c r="F19" i="117"/>
  <c r="F18" i="117"/>
  <c r="F16" i="117"/>
  <c r="F15" i="117"/>
  <c r="F14" i="117"/>
  <c r="W12" i="117"/>
  <c r="V12" i="117"/>
  <c r="M12" i="117"/>
  <c r="N12" i="117" s="1"/>
  <c r="I12" i="117"/>
  <c r="F12" i="117"/>
  <c r="W11" i="117"/>
  <c r="V11" i="117"/>
  <c r="M11" i="117"/>
  <c r="N11" i="117" s="1"/>
  <c r="I11" i="117"/>
  <c r="F11" i="117"/>
  <c r="W10" i="117"/>
  <c r="V10" i="117"/>
  <c r="M10" i="117"/>
  <c r="N10" i="117" s="1"/>
  <c r="I10" i="117"/>
  <c r="W9" i="117"/>
  <c r="V9" i="117"/>
  <c r="M9" i="117"/>
  <c r="N9" i="117" s="1"/>
  <c r="I9" i="117"/>
  <c r="W8" i="117"/>
  <c r="V8" i="117"/>
  <c r="M8" i="117"/>
  <c r="N8" i="117" s="1"/>
  <c r="I8" i="117"/>
  <c r="W7" i="117"/>
  <c r="V7" i="117"/>
  <c r="M7" i="117"/>
  <c r="N7" i="117" s="1"/>
  <c r="I7" i="117"/>
  <c r="W6" i="117"/>
  <c r="V6" i="117"/>
  <c r="M6" i="117"/>
  <c r="N6" i="117" s="1"/>
  <c r="I6" i="117"/>
  <c r="AE5" i="117"/>
  <c r="W5" i="117"/>
  <c r="V5" i="117"/>
  <c r="M5" i="117"/>
  <c r="N5" i="117" s="1"/>
  <c r="I5" i="117"/>
  <c r="W4" i="117"/>
  <c r="V4" i="117"/>
  <c r="M4" i="117"/>
  <c r="N4" i="117" s="1"/>
  <c r="I4" i="117"/>
  <c r="F13" i="117" l="1"/>
  <c r="F26" i="117" s="1"/>
  <c r="F17" i="117"/>
  <c r="F21" i="117"/>
  <c r="F24" i="117"/>
  <c r="V36" i="117"/>
  <c r="W33" i="117"/>
  <c r="U4" i="117"/>
  <c r="X4" i="117" s="1"/>
  <c r="Y4" i="117" s="1"/>
  <c r="Z4" i="117" s="1"/>
  <c r="Q4" i="117" s="1"/>
  <c r="P4" i="117"/>
  <c r="R4" i="117" s="1"/>
  <c r="U5" i="117"/>
  <c r="X5" i="117" s="1"/>
  <c r="Y5" i="117" s="1"/>
  <c r="Z5" i="117" s="1"/>
  <c r="Q5" i="117" s="1"/>
  <c r="P5" i="117"/>
  <c r="R5" i="117" s="1"/>
  <c r="U6" i="117"/>
  <c r="X6" i="117" s="1"/>
  <c r="Y6" i="117" s="1"/>
  <c r="Z6" i="117" s="1"/>
  <c r="Q6" i="117" s="1"/>
  <c r="P6" i="117"/>
  <c r="R6" i="117" s="1"/>
  <c r="U7" i="117"/>
  <c r="X7" i="117" s="1"/>
  <c r="Y7" i="117" s="1"/>
  <c r="Z7" i="117" s="1"/>
  <c r="Q7" i="117" s="1"/>
  <c r="P7" i="117"/>
  <c r="R7" i="117" s="1"/>
  <c r="U8" i="117"/>
  <c r="X8" i="117" s="1"/>
  <c r="Y8" i="117" s="1"/>
  <c r="Z8" i="117" s="1"/>
  <c r="Q8" i="117" s="1"/>
  <c r="P8" i="117"/>
  <c r="R8" i="117" s="1"/>
  <c r="U9" i="117"/>
  <c r="X9" i="117" s="1"/>
  <c r="Y9" i="117" s="1"/>
  <c r="Z9" i="117" s="1"/>
  <c r="Q9" i="117" s="1"/>
  <c r="P9" i="117"/>
  <c r="R9" i="117" s="1"/>
  <c r="U10" i="117"/>
  <c r="X10" i="117" s="1"/>
  <c r="Y10" i="117" s="1"/>
  <c r="Z10" i="117" s="1"/>
  <c r="Q10" i="117" s="1"/>
  <c r="P10" i="117"/>
  <c r="R10" i="117" s="1"/>
  <c r="U11" i="117"/>
  <c r="X11" i="117" s="1"/>
  <c r="Y11" i="117" s="1"/>
  <c r="Z11" i="117" s="1"/>
  <c r="Q11" i="117" s="1"/>
  <c r="P11" i="117"/>
  <c r="R11" i="117" s="1"/>
  <c r="U12" i="117"/>
  <c r="X12" i="117" s="1"/>
  <c r="Y12" i="117" s="1"/>
  <c r="Z12" i="117" s="1"/>
  <c r="Q12" i="117" s="1"/>
  <c r="P12" i="117"/>
  <c r="R12" i="117" s="1"/>
  <c r="G12" i="117"/>
  <c r="G13" i="117" s="1"/>
  <c r="G14" i="117" s="1"/>
  <c r="G15" i="117" s="1"/>
  <c r="G16" i="117" s="1"/>
  <c r="G17" i="117" s="1"/>
  <c r="G18" i="117" s="1"/>
  <c r="G19" i="117" s="1"/>
  <c r="G20" i="117" s="1"/>
  <c r="G21" i="117" s="1"/>
  <c r="G22" i="117" s="1"/>
  <c r="G23" i="117" s="1"/>
  <c r="G24" i="117" s="1"/>
  <c r="X27" i="117"/>
  <c r="W32" i="117"/>
  <c r="G25" i="117" l="1"/>
  <c r="S12" i="117"/>
  <c r="S11" i="117"/>
  <c r="S10" i="117"/>
  <c r="S9" i="117"/>
  <c r="S8" i="117"/>
  <c r="S7" i="117"/>
  <c r="S6" i="117"/>
  <c r="S5" i="117"/>
  <c r="S4" i="117"/>
  <c r="F31" i="117"/>
  <c r="F36" i="116" l="1"/>
  <c r="G33" i="116"/>
  <c r="W31" i="116"/>
  <c r="W30" i="116"/>
  <c r="W27" i="116"/>
  <c r="C27" i="116"/>
  <c r="E26" i="116"/>
  <c r="E27" i="116" s="1"/>
  <c r="F27" i="116" s="1"/>
  <c r="F25" i="116"/>
  <c r="W24" i="116"/>
  <c r="F23" i="116"/>
  <c r="W22" i="116"/>
  <c r="F20" i="116"/>
  <c r="F19" i="116"/>
  <c r="F16" i="116"/>
  <c r="F15" i="116"/>
  <c r="W12" i="116"/>
  <c r="V12" i="116"/>
  <c r="M12" i="116"/>
  <c r="N12" i="116" s="1"/>
  <c r="I12" i="116"/>
  <c r="F12" i="116"/>
  <c r="W11" i="116"/>
  <c r="V11" i="116"/>
  <c r="M11" i="116"/>
  <c r="N11" i="116" s="1"/>
  <c r="I11" i="116"/>
  <c r="F11" i="116"/>
  <c r="W10" i="116"/>
  <c r="V10" i="116"/>
  <c r="M10" i="116"/>
  <c r="N10" i="116" s="1"/>
  <c r="I10" i="116"/>
  <c r="W9" i="116"/>
  <c r="V9" i="116"/>
  <c r="M9" i="116"/>
  <c r="N9" i="116" s="1"/>
  <c r="I9" i="116"/>
  <c r="W8" i="116"/>
  <c r="V8" i="116"/>
  <c r="M8" i="116"/>
  <c r="N8" i="116" s="1"/>
  <c r="I8" i="116"/>
  <c r="W7" i="116"/>
  <c r="V7" i="116"/>
  <c r="M7" i="116"/>
  <c r="N7" i="116" s="1"/>
  <c r="I7" i="116"/>
  <c r="W6" i="116"/>
  <c r="V6" i="116"/>
  <c r="M6" i="116"/>
  <c r="N6" i="116" s="1"/>
  <c r="I6" i="116"/>
  <c r="AE5" i="116"/>
  <c r="W5" i="116"/>
  <c r="V5" i="116"/>
  <c r="M5" i="116"/>
  <c r="N5" i="116" s="1"/>
  <c r="I5" i="116"/>
  <c r="W4" i="116"/>
  <c r="V4" i="116"/>
  <c r="M4" i="116"/>
  <c r="N4" i="116" s="1"/>
  <c r="I4" i="116"/>
  <c r="F13" i="116" l="1"/>
  <c r="F26" i="116" s="1"/>
  <c r="F17" i="116"/>
  <c r="F21" i="116"/>
  <c r="F24" i="116"/>
  <c r="F14" i="116"/>
  <c r="F18" i="116"/>
  <c r="F22" i="116"/>
  <c r="F58" i="156"/>
  <c r="J58" i="156" s="1"/>
  <c r="V36" i="116"/>
  <c r="W33" i="116"/>
  <c r="U4" i="116"/>
  <c r="X4" i="116" s="1"/>
  <c r="Y4" i="116" s="1"/>
  <c r="Z4" i="116" s="1"/>
  <c r="Q4" i="116" s="1"/>
  <c r="P4" i="116"/>
  <c r="R4" i="116" s="1"/>
  <c r="U5" i="116"/>
  <c r="X5" i="116" s="1"/>
  <c r="Y5" i="116" s="1"/>
  <c r="Z5" i="116" s="1"/>
  <c r="Q5" i="116" s="1"/>
  <c r="P5" i="116"/>
  <c r="R5" i="116" s="1"/>
  <c r="U6" i="116"/>
  <c r="X6" i="116" s="1"/>
  <c r="Y6" i="116" s="1"/>
  <c r="Z6" i="116" s="1"/>
  <c r="Q6" i="116" s="1"/>
  <c r="P6" i="116"/>
  <c r="R6" i="116" s="1"/>
  <c r="U7" i="116"/>
  <c r="X7" i="116" s="1"/>
  <c r="Y7" i="116" s="1"/>
  <c r="Z7" i="116" s="1"/>
  <c r="Q7" i="116" s="1"/>
  <c r="P7" i="116"/>
  <c r="R7" i="116" s="1"/>
  <c r="U8" i="116"/>
  <c r="X8" i="116" s="1"/>
  <c r="Y8" i="116" s="1"/>
  <c r="Z8" i="116" s="1"/>
  <c r="Q8" i="116" s="1"/>
  <c r="P8" i="116"/>
  <c r="R8" i="116" s="1"/>
  <c r="U9" i="116"/>
  <c r="X9" i="116" s="1"/>
  <c r="Y9" i="116" s="1"/>
  <c r="Z9" i="116" s="1"/>
  <c r="Q9" i="116" s="1"/>
  <c r="P9" i="116"/>
  <c r="R9" i="116" s="1"/>
  <c r="U10" i="116"/>
  <c r="X10" i="116" s="1"/>
  <c r="Y10" i="116" s="1"/>
  <c r="Z10" i="116" s="1"/>
  <c r="Q10" i="116" s="1"/>
  <c r="P10" i="116"/>
  <c r="R10" i="116" s="1"/>
  <c r="U11" i="116"/>
  <c r="X11" i="116" s="1"/>
  <c r="Y11" i="116" s="1"/>
  <c r="Z11" i="116" s="1"/>
  <c r="Q11" i="116" s="1"/>
  <c r="P11" i="116"/>
  <c r="R11" i="116" s="1"/>
  <c r="U12" i="116"/>
  <c r="X12" i="116" s="1"/>
  <c r="Y12" i="116" s="1"/>
  <c r="Z12" i="116" s="1"/>
  <c r="Q12" i="116" s="1"/>
  <c r="P12" i="116"/>
  <c r="R12" i="116" s="1"/>
  <c r="G12" i="116"/>
  <c r="G13" i="116" s="1"/>
  <c r="G14" i="116" s="1"/>
  <c r="G15" i="116" s="1"/>
  <c r="G16" i="116" s="1"/>
  <c r="G17" i="116" s="1"/>
  <c r="G18" i="116" s="1"/>
  <c r="G19" i="116" s="1"/>
  <c r="G20" i="116" s="1"/>
  <c r="G21" i="116" s="1"/>
  <c r="G22" i="116" s="1"/>
  <c r="G23" i="116" s="1"/>
  <c r="G24" i="116" s="1"/>
  <c r="X27" i="116"/>
  <c r="W32" i="116"/>
  <c r="G25" i="116" l="1"/>
  <c r="S12" i="116"/>
  <c r="S11" i="116"/>
  <c r="S10" i="116"/>
  <c r="S9" i="116"/>
  <c r="S8" i="116"/>
  <c r="S7" i="116"/>
  <c r="S6" i="116"/>
  <c r="S5" i="116"/>
  <c r="S4" i="116"/>
  <c r="F31" i="116"/>
  <c r="F36" i="115" l="1"/>
  <c r="G33" i="115"/>
  <c r="W31" i="115"/>
  <c r="W30" i="115"/>
  <c r="W27" i="115"/>
  <c r="C27" i="115"/>
  <c r="E26" i="115"/>
  <c r="E27" i="115" s="1"/>
  <c r="F27" i="115" s="1"/>
  <c r="F25" i="115"/>
  <c r="W24" i="115"/>
  <c r="F23" i="115"/>
  <c r="W22" i="115"/>
  <c r="F20" i="115"/>
  <c r="F19" i="115"/>
  <c r="F16" i="115"/>
  <c r="F15" i="115"/>
  <c r="W12" i="115"/>
  <c r="V12" i="115"/>
  <c r="M12" i="115"/>
  <c r="N12" i="115" s="1"/>
  <c r="I12" i="115"/>
  <c r="F12" i="115"/>
  <c r="W11" i="115"/>
  <c r="V11" i="115"/>
  <c r="M11" i="115"/>
  <c r="N11" i="115" s="1"/>
  <c r="I11" i="115"/>
  <c r="F11" i="115"/>
  <c r="W10" i="115"/>
  <c r="V10" i="115"/>
  <c r="M10" i="115"/>
  <c r="N10" i="115" s="1"/>
  <c r="I10" i="115"/>
  <c r="W9" i="115"/>
  <c r="V9" i="115"/>
  <c r="M9" i="115"/>
  <c r="N9" i="115" s="1"/>
  <c r="I9" i="115"/>
  <c r="W8" i="115"/>
  <c r="V8" i="115"/>
  <c r="M8" i="115"/>
  <c r="N8" i="115" s="1"/>
  <c r="I8" i="115"/>
  <c r="W7" i="115"/>
  <c r="V7" i="115"/>
  <c r="M7" i="115"/>
  <c r="N7" i="115" s="1"/>
  <c r="I7" i="115"/>
  <c r="W6" i="115"/>
  <c r="V6" i="115"/>
  <c r="M6" i="115"/>
  <c r="N6" i="115" s="1"/>
  <c r="I6" i="115"/>
  <c r="AE5" i="115"/>
  <c r="W5" i="115"/>
  <c r="V5" i="115"/>
  <c r="M5" i="115"/>
  <c r="N5" i="115" s="1"/>
  <c r="I5" i="115"/>
  <c r="W4" i="115"/>
  <c r="V4" i="115"/>
  <c r="M4" i="115"/>
  <c r="N4" i="115" s="1"/>
  <c r="I4" i="115"/>
  <c r="W33" i="115" l="1"/>
  <c r="F13" i="115"/>
  <c r="F17" i="115"/>
  <c r="F21" i="115"/>
  <c r="F24" i="115"/>
  <c r="F26" i="115" s="1"/>
  <c r="F14" i="115"/>
  <c r="F18" i="115"/>
  <c r="F22" i="115"/>
  <c r="F57" i="156"/>
  <c r="J57" i="156" s="1"/>
  <c r="V36" i="115"/>
  <c r="U4" i="115"/>
  <c r="X4" i="115" s="1"/>
  <c r="Y4" i="115" s="1"/>
  <c r="Z4" i="115" s="1"/>
  <c r="Q4" i="115" s="1"/>
  <c r="P4" i="115"/>
  <c r="R4" i="115" s="1"/>
  <c r="U5" i="115"/>
  <c r="X5" i="115" s="1"/>
  <c r="Y5" i="115" s="1"/>
  <c r="Z5" i="115" s="1"/>
  <c r="Q5" i="115" s="1"/>
  <c r="P5" i="115"/>
  <c r="R5" i="115" s="1"/>
  <c r="U6" i="115"/>
  <c r="X6" i="115" s="1"/>
  <c r="Y6" i="115" s="1"/>
  <c r="Z6" i="115" s="1"/>
  <c r="Q6" i="115" s="1"/>
  <c r="P6" i="115"/>
  <c r="R6" i="115" s="1"/>
  <c r="U7" i="115"/>
  <c r="X7" i="115" s="1"/>
  <c r="Y7" i="115" s="1"/>
  <c r="Z7" i="115" s="1"/>
  <c r="Q7" i="115" s="1"/>
  <c r="P7" i="115"/>
  <c r="R7" i="115" s="1"/>
  <c r="U8" i="115"/>
  <c r="X8" i="115" s="1"/>
  <c r="Y8" i="115" s="1"/>
  <c r="Z8" i="115" s="1"/>
  <c r="Q8" i="115" s="1"/>
  <c r="P8" i="115"/>
  <c r="R8" i="115" s="1"/>
  <c r="U9" i="115"/>
  <c r="X9" i="115" s="1"/>
  <c r="Y9" i="115" s="1"/>
  <c r="Z9" i="115" s="1"/>
  <c r="Q9" i="115" s="1"/>
  <c r="P9" i="115"/>
  <c r="R9" i="115" s="1"/>
  <c r="U10" i="115"/>
  <c r="X10" i="115" s="1"/>
  <c r="Y10" i="115" s="1"/>
  <c r="Z10" i="115" s="1"/>
  <c r="Q10" i="115" s="1"/>
  <c r="P10" i="115"/>
  <c r="R10" i="115" s="1"/>
  <c r="U11" i="115"/>
  <c r="X11" i="115" s="1"/>
  <c r="Y11" i="115" s="1"/>
  <c r="Z11" i="115" s="1"/>
  <c r="Q11" i="115" s="1"/>
  <c r="P11" i="115"/>
  <c r="R11" i="115" s="1"/>
  <c r="U12" i="115"/>
  <c r="X12" i="115" s="1"/>
  <c r="Y12" i="115" s="1"/>
  <c r="Z12" i="115" s="1"/>
  <c r="Q12" i="115" s="1"/>
  <c r="P12" i="115"/>
  <c r="R12" i="115" s="1"/>
  <c r="G12" i="115"/>
  <c r="G13" i="115" s="1"/>
  <c r="G14" i="115" s="1"/>
  <c r="G15" i="115" s="1"/>
  <c r="G16" i="115" s="1"/>
  <c r="G17" i="115" s="1"/>
  <c r="G18" i="115" s="1"/>
  <c r="G19" i="115" s="1"/>
  <c r="G20" i="115" s="1"/>
  <c r="G21" i="115" s="1"/>
  <c r="G22" i="115" s="1"/>
  <c r="G23" i="115" s="1"/>
  <c r="G24" i="115" s="1"/>
  <c r="X27" i="115"/>
  <c r="W32" i="115"/>
  <c r="G25" i="115" l="1"/>
  <c r="S12" i="115"/>
  <c r="S11" i="115"/>
  <c r="S10" i="115"/>
  <c r="S9" i="115"/>
  <c r="S8" i="115"/>
  <c r="S7" i="115"/>
  <c r="S6" i="115"/>
  <c r="S5" i="115"/>
  <c r="S4" i="115"/>
  <c r="F31" i="115"/>
  <c r="F36" i="114" l="1"/>
  <c r="G33" i="114"/>
  <c r="W31" i="114"/>
  <c r="W30" i="114"/>
  <c r="W27" i="114"/>
  <c r="C27" i="114"/>
  <c r="E26" i="114"/>
  <c r="E27" i="114" s="1"/>
  <c r="F27" i="114" s="1"/>
  <c r="F25" i="114"/>
  <c r="W24" i="114"/>
  <c r="F56" i="156" s="1"/>
  <c r="J56" i="156" s="1"/>
  <c r="F23" i="114"/>
  <c r="W22" i="114"/>
  <c r="F22" i="114"/>
  <c r="F20" i="114"/>
  <c r="F19" i="114"/>
  <c r="F18" i="114"/>
  <c r="F16" i="114"/>
  <c r="F15" i="114"/>
  <c r="F14" i="114"/>
  <c r="W12" i="114"/>
  <c r="V12" i="114"/>
  <c r="M12" i="114"/>
  <c r="N12" i="114" s="1"/>
  <c r="I12" i="114"/>
  <c r="F12" i="114"/>
  <c r="W11" i="114"/>
  <c r="V11" i="114"/>
  <c r="M11" i="114"/>
  <c r="N11" i="114" s="1"/>
  <c r="I11" i="114"/>
  <c r="F11" i="114"/>
  <c r="W10" i="114"/>
  <c r="V10" i="114"/>
  <c r="M10" i="114"/>
  <c r="N10" i="114" s="1"/>
  <c r="I10" i="114"/>
  <c r="W9" i="114"/>
  <c r="V9" i="114"/>
  <c r="M9" i="114"/>
  <c r="N9" i="114" s="1"/>
  <c r="I9" i="114"/>
  <c r="W8" i="114"/>
  <c r="V8" i="114"/>
  <c r="M8" i="114"/>
  <c r="N8" i="114" s="1"/>
  <c r="I8" i="114"/>
  <c r="W7" i="114"/>
  <c r="V7" i="114"/>
  <c r="M7" i="114"/>
  <c r="N7" i="114" s="1"/>
  <c r="I7" i="114"/>
  <c r="W6" i="114"/>
  <c r="V6" i="114"/>
  <c r="M6" i="114"/>
  <c r="N6" i="114" s="1"/>
  <c r="I6" i="114"/>
  <c r="AE5" i="114"/>
  <c r="W5" i="114"/>
  <c r="V5" i="114"/>
  <c r="M5" i="114"/>
  <c r="N5" i="114" s="1"/>
  <c r="I5" i="114"/>
  <c r="W4" i="114"/>
  <c r="V4" i="114"/>
  <c r="M4" i="114"/>
  <c r="N4" i="114" s="1"/>
  <c r="I4" i="114"/>
  <c r="F13" i="114" l="1"/>
  <c r="F26" i="114" s="1"/>
  <c r="F17" i="114"/>
  <c r="F21" i="114"/>
  <c r="F24" i="114"/>
  <c r="V36" i="114"/>
  <c r="W33" i="114"/>
  <c r="U4" i="114"/>
  <c r="X4" i="114" s="1"/>
  <c r="Y4" i="114" s="1"/>
  <c r="Z4" i="114" s="1"/>
  <c r="Q4" i="114" s="1"/>
  <c r="P4" i="114"/>
  <c r="R4" i="114" s="1"/>
  <c r="U5" i="114"/>
  <c r="X5" i="114" s="1"/>
  <c r="Y5" i="114" s="1"/>
  <c r="Z5" i="114" s="1"/>
  <c r="Q5" i="114" s="1"/>
  <c r="P5" i="114"/>
  <c r="R5" i="114" s="1"/>
  <c r="U6" i="114"/>
  <c r="X6" i="114" s="1"/>
  <c r="Y6" i="114" s="1"/>
  <c r="Z6" i="114" s="1"/>
  <c r="Q6" i="114" s="1"/>
  <c r="P6" i="114"/>
  <c r="R6" i="114" s="1"/>
  <c r="U7" i="114"/>
  <c r="X7" i="114" s="1"/>
  <c r="Y7" i="114" s="1"/>
  <c r="Z7" i="114" s="1"/>
  <c r="Q7" i="114" s="1"/>
  <c r="P7" i="114"/>
  <c r="R7" i="114" s="1"/>
  <c r="U8" i="114"/>
  <c r="X8" i="114" s="1"/>
  <c r="Y8" i="114" s="1"/>
  <c r="Z8" i="114" s="1"/>
  <c r="Q8" i="114" s="1"/>
  <c r="P8" i="114"/>
  <c r="R8" i="114" s="1"/>
  <c r="U9" i="114"/>
  <c r="X9" i="114" s="1"/>
  <c r="Y9" i="114" s="1"/>
  <c r="Z9" i="114" s="1"/>
  <c r="Q9" i="114" s="1"/>
  <c r="P9" i="114"/>
  <c r="R9" i="114" s="1"/>
  <c r="U10" i="114"/>
  <c r="X10" i="114" s="1"/>
  <c r="Y10" i="114" s="1"/>
  <c r="Z10" i="114" s="1"/>
  <c r="Q10" i="114" s="1"/>
  <c r="P10" i="114"/>
  <c r="R10" i="114" s="1"/>
  <c r="U11" i="114"/>
  <c r="X11" i="114" s="1"/>
  <c r="Y11" i="114" s="1"/>
  <c r="Z11" i="114" s="1"/>
  <c r="Q11" i="114" s="1"/>
  <c r="P11" i="114"/>
  <c r="R11" i="114" s="1"/>
  <c r="U12" i="114"/>
  <c r="X12" i="114" s="1"/>
  <c r="Y12" i="114" s="1"/>
  <c r="Z12" i="114" s="1"/>
  <c r="Q12" i="114" s="1"/>
  <c r="P12" i="114"/>
  <c r="R12" i="114" s="1"/>
  <c r="G12" i="114"/>
  <c r="G13" i="114" s="1"/>
  <c r="G14" i="114" s="1"/>
  <c r="G15" i="114" s="1"/>
  <c r="G16" i="114" s="1"/>
  <c r="G17" i="114" s="1"/>
  <c r="G18" i="114" s="1"/>
  <c r="G19" i="114" s="1"/>
  <c r="G20" i="114" s="1"/>
  <c r="G21" i="114" s="1"/>
  <c r="G22" i="114" s="1"/>
  <c r="G23" i="114" s="1"/>
  <c r="G24" i="114" s="1"/>
  <c r="X27" i="114"/>
  <c r="W32" i="114"/>
  <c r="G25" i="114" l="1"/>
  <c r="S12" i="114"/>
  <c r="S11" i="114"/>
  <c r="S10" i="114"/>
  <c r="S9" i="114"/>
  <c r="S8" i="114"/>
  <c r="S7" i="114"/>
  <c r="S6" i="114"/>
  <c r="S5" i="114"/>
  <c r="S4" i="114"/>
  <c r="F31" i="114"/>
  <c r="F36" i="113" l="1"/>
  <c r="G33" i="113"/>
  <c r="W31" i="113"/>
  <c r="W30" i="113"/>
  <c r="W27" i="113"/>
  <c r="C27" i="113"/>
  <c r="E26" i="113"/>
  <c r="E27" i="113" s="1"/>
  <c r="F27" i="113" s="1"/>
  <c r="F25" i="113"/>
  <c r="W24" i="113"/>
  <c r="F23" i="113"/>
  <c r="W22" i="113"/>
  <c r="F20" i="113"/>
  <c r="F19" i="113"/>
  <c r="F16" i="113"/>
  <c r="F15" i="113"/>
  <c r="W12" i="113"/>
  <c r="V12" i="113"/>
  <c r="M12" i="113"/>
  <c r="N12" i="113" s="1"/>
  <c r="I12" i="113"/>
  <c r="F12" i="113"/>
  <c r="W11" i="113"/>
  <c r="V11" i="113"/>
  <c r="M11" i="113"/>
  <c r="N11" i="113" s="1"/>
  <c r="I11" i="113"/>
  <c r="F11" i="113"/>
  <c r="W10" i="113"/>
  <c r="V10" i="113"/>
  <c r="M10" i="113"/>
  <c r="N10" i="113" s="1"/>
  <c r="I10" i="113"/>
  <c r="W9" i="113"/>
  <c r="V9" i="113"/>
  <c r="M9" i="113"/>
  <c r="N9" i="113" s="1"/>
  <c r="I9" i="113"/>
  <c r="W8" i="113"/>
  <c r="V8" i="113"/>
  <c r="M8" i="113"/>
  <c r="N8" i="113" s="1"/>
  <c r="I8" i="113"/>
  <c r="W7" i="113"/>
  <c r="V7" i="113"/>
  <c r="M7" i="113"/>
  <c r="N7" i="113" s="1"/>
  <c r="I7" i="113"/>
  <c r="W6" i="113"/>
  <c r="V6" i="113"/>
  <c r="M6" i="113"/>
  <c r="N6" i="113" s="1"/>
  <c r="I6" i="113"/>
  <c r="AE5" i="113"/>
  <c r="W5" i="113"/>
  <c r="V5" i="113"/>
  <c r="M5" i="113"/>
  <c r="N5" i="113" s="1"/>
  <c r="I5" i="113"/>
  <c r="W4" i="113"/>
  <c r="V4" i="113"/>
  <c r="M4" i="113"/>
  <c r="N4" i="113" s="1"/>
  <c r="I4" i="113"/>
  <c r="W33" i="113" l="1"/>
  <c r="F13" i="113"/>
  <c r="F26" i="113" s="1"/>
  <c r="F17" i="113"/>
  <c r="F21" i="113"/>
  <c r="F24" i="113"/>
  <c r="F14" i="113"/>
  <c r="F18" i="113"/>
  <c r="F22" i="113"/>
  <c r="F55" i="156"/>
  <c r="J55" i="156" s="1"/>
  <c r="V36" i="113"/>
  <c r="U4" i="113"/>
  <c r="X4" i="113" s="1"/>
  <c r="Y4" i="113" s="1"/>
  <c r="Z4" i="113" s="1"/>
  <c r="Q4" i="113" s="1"/>
  <c r="P4" i="113"/>
  <c r="R4" i="113" s="1"/>
  <c r="U5" i="113"/>
  <c r="X5" i="113" s="1"/>
  <c r="Y5" i="113" s="1"/>
  <c r="Z5" i="113" s="1"/>
  <c r="Q5" i="113" s="1"/>
  <c r="P5" i="113"/>
  <c r="R5" i="113" s="1"/>
  <c r="U6" i="113"/>
  <c r="X6" i="113" s="1"/>
  <c r="Y6" i="113" s="1"/>
  <c r="Z6" i="113" s="1"/>
  <c r="Q6" i="113" s="1"/>
  <c r="P6" i="113"/>
  <c r="R6" i="113" s="1"/>
  <c r="U7" i="113"/>
  <c r="X7" i="113" s="1"/>
  <c r="Y7" i="113" s="1"/>
  <c r="Z7" i="113" s="1"/>
  <c r="Q7" i="113" s="1"/>
  <c r="P7" i="113"/>
  <c r="R7" i="113" s="1"/>
  <c r="U8" i="113"/>
  <c r="X8" i="113" s="1"/>
  <c r="Y8" i="113" s="1"/>
  <c r="Z8" i="113" s="1"/>
  <c r="Q8" i="113" s="1"/>
  <c r="P8" i="113"/>
  <c r="R8" i="113" s="1"/>
  <c r="U9" i="113"/>
  <c r="X9" i="113" s="1"/>
  <c r="Y9" i="113" s="1"/>
  <c r="Z9" i="113" s="1"/>
  <c r="Q9" i="113" s="1"/>
  <c r="P9" i="113"/>
  <c r="R9" i="113" s="1"/>
  <c r="U10" i="113"/>
  <c r="X10" i="113" s="1"/>
  <c r="Y10" i="113" s="1"/>
  <c r="Z10" i="113" s="1"/>
  <c r="Q10" i="113" s="1"/>
  <c r="P10" i="113"/>
  <c r="R10" i="113" s="1"/>
  <c r="U11" i="113"/>
  <c r="X11" i="113" s="1"/>
  <c r="Y11" i="113" s="1"/>
  <c r="Z11" i="113" s="1"/>
  <c r="Q11" i="113" s="1"/>
  <c r="P11" i="113"/>
  <c r="R11" i="113" s="1"/>
  <c r="U12" i="113"/>
  <c r="X12" i="113" s="1"/>
  <c r="Y12" i="113" s="1"/>
  <c r="Z12" i="113" s="1"/>
  <c r="Q12" i="113" s="1"/>
  <c r="P12" i="113"/>
  <c r="R12" i="113" s="1"/>
  <c r="G12" i="113"/>
  <c r="G13" i="113" s="1"/>
  <c r="G14" i="113" s="1"/>
  <c r="G15" i="113" s="1"/>
  <c r="G16" i="113" s="1"/>
  <c r="G17" i="113" s="1"/>
  <c r="G18" i="113" s="1"/>
  <c r="G19" i="113" s="1"/>
  <c r="G20" i="113" s="1"/>
  <c r="G21" i="113" s="1"/>
  <c r="G22" i="113" s="1"/>
  <c r="G23" i="113" s="1"/>
  <c r="G24" i="113" s="1"/>
  <c r="X27" i="113"/>
  <c r="W32" i="113"/>
  <c r="G25" i="113" l="1"/>
  <c r="S12" i="113"/>
  <c r="S11" i="113"/>
  <c r="S10" i="113"/>
  <c r="S9" i="113"/>
  <c r="S8" i="113"/>
  <c r="S7" i="113"/>
  <c r="S6" i="113"/>
  <c r="S5" i="113"/>
  <c r="S4" i="113"/>
  <c r="F31" i="113"/>
  <c r="F36" i="112" l="1"/>
  <c r="G33" i="112"/>
  <c r="W31" i="112"/>
  <c r="W30" i="112"/>
  <c r="W27" i="112"/>
  <c r="C27" i="112"/>
  <c r="E26" i="112"/>
  <c r="E27" i="112" s="1"/>
  <c r="F27" i="112" s="1"/>
  <c r="F25" i="112"/>
  <c r="W24" i="112"/>
  <c r="F54" i="156" s="1"/>
  <c r="J54" i="156" s="1"/>
  <c r="F23" i="112"/>
  <c r="W22" i="112"/>
  <c r="F22" i="112"/>
  <c r="F20" i="112"/>
  <c r="F19" i="112"/>
  <c r="F18" i="112"/>
  <c r="F16" i="112"/>
  <c r="F15" i="112"/>
  <c r="F14" i="112"/>
  <c r="W12" i="112"/>
  <c r="V12" i="112"/>
  <c r="M12" i="112"/>
  <c r="N12" i="112" s="1"/>
  <c r="I12" i="112"/>
  <c r="F12" i="112"/>
  <c r="W11" i="112"/>
  <c r="V11" i="112"/>
  <c r="M11" i="112"/>
  <c r="N11" i="112" s="1"/>
  <c r="I11" i="112"/>
  <c r="F11" i="112"/>
  <c r="W10" i="112"/>
  <c r="V10" i="112"/>
  <c r="M10" i="112"/>
  <c r="N10" i="112" s="1"/>
  <c r="I10" i="112"/>
  <c r="W9" i="112"/>
  <c r="V9" i="112"/>
  <c r="M9" i="112"/>
  <c r="N9" i="112" s="1"/>
  <c r="I9" i="112"/>
  <c r="W8" i="112"/>
  <c r="V8" i="112"/>
  <c r="M8" i="112"/>
  <c r="N8" i="112" s="1"/>
  <c r="I8" i="112"/>
  <c r="W7" i="112"/>
  <c r="V7" i="112"/>
  <c r="M7" i="112"/>
  <c r="N7" i="112" s="1"/>
  <c r="I7" i="112"/>
  <c r="W6" i="112"/>
  <c r="V6" i="112"/>
  <c r="M6" i="112"/>
  <c r="N6" i="112" s="1"/>
  <c r="I6" i="112"/>
  <c r="AE5" i="112"/>
  <c r="W5" i="112"/>
  <c r="V5" i="112"/>
  <c r="M5" i="112"/>
  <c r="N5" i="112" s="1"/>
  <c r="I5" i="112"/>
  <c r="W4" i="112"/>
  <c r="V4" i="112"/>
  <c r="M4" i="112"/>
  <c r="N4" i="112" s="1"/>
  <c r="I4" i="112"/>
  <c r="F13" i="112" l="1"/>
  <c r="F26" i="112" s="1"/>
  <c r="F17" i="112"/>
  <c r="F21" i="112"/>
  <c r="F24" i="112"/>
  <c r="V36" i="112"/>
  <c r="W33" i="112"/>
  <c r="U4" i="112"/>
  <c r="X4" i="112" s="1"/>
  <c r="Y4" i="112" s="1"/>
  <c r="Z4" i="112" s="1"/>
  <c r="Q4" i="112" s="1"/>
  <c r="P4" i="112"/>
  <c r="R4" i="112" s="1"/>
  <c r="U5" i="112"/>
  <c r="X5" i="112" s="1"/>
  <c r="Y5" i="112" s="1"/>
  <c r="Z5" i="112" s="1"/>
  <c r="Q5" i="112" s="1"/>
  <c r="P5" i="112"/>
  <c r="R5" i="112" s="1"/>
  <c r="U6" i="112"/>
  <c r="X6" i="112" s="1"/>
  <c r="Y6" i="112" s="1"/>
  <c r="Z6" i="112" s="1"/>
  <c r="Q6" i="112" s="1"/>
  <c r="P6" i="112"/>
  <c r="R6" i="112" s="1"/>
  <c r="U7" i="112"/>
  <c r="X7" i="112" s="1"/>
  <c r="Y7" i="112" s="1"/>
  <c r="Z7" i="112" s="1"/>
  <c r="Q7" i="112" s="1"/>
  <c r="P7" i="112"/>
  <c r="R7" i="112" s="1"/>
  <c r="U8" i="112"/>
  <c r="X8" i="112" s="1"/>
  <c r="Y8" i="112" s="1"/>
  <c r="Z8" i="112" s="1"/>
  <c r="Q8" i="112" s="1"/>
  <c r="P8" i="112"/>
  <c r="R8" i="112" s="1"/>
  <c r="U9" i="112"/>
  <c r="X9" i="112" s="1"/>
  <c r="Y9" i="112" s="1"/>
  <c r="Z9" i="112" s="1"/>
  <c r="Q9" i="112" s="1"/>
  <c r="P9" i="112"/>
  <c r="R9" i="112" s="1"/>
  <c r="U10" i="112"/>
  <c r="X10" i="112" s="1"/>
  <c r="Y10" i="112" s="1"/>
  <c r="Z10" i="112" s="1"/>
  <c r="Q10" i="112" s="1"/>
  <c r="P10" i="112"/>
  <c r="R10" i="112" s="1"/>
  <c r="U11" i="112"/>
  <c r="X11" i="112" s="1"/>
  <c r="Y11" i="112" s="1"/>
  <c r="Z11" i="112" s="1"/>
  <c r="Q11" i="112" s="1"/>
  <c r="P11" i="112"/>
  <c r="R11" i="112" s="1"/>
  <c r="U12" i="112"/>
  <c r="X12" i="112" s="1"/>
  <c r="Y12" i="112" s="1"/>
  <c r="Z12" i="112" s="1"/>
  <c r="Q12" i="112" s="1"/>
  <c r="P12" i="112"/>
  <c r="R12" i="112" s="1"/>
  <c r="G12" i="112"/>
  <c r="G13" i="112" s="1"/>
  <c r="G14" i="112" s="1"/>
  <c r="G15" i="112" s="1"/>
  <c r="G16" i="112" s="1"/>
  <c r="G17" i="112" s="1"/>
  <c r="G18" i="112" s="1"/>
  <c r="G19" i="112" s="1"/>
  <c r="G20" i="112" s="1"/>
  <c r="G21" i="112" s="1"/>
  <c r="G22" i="112" s="1"/>
  <c r="G23" i="112" s="1"/>
  <c r="G24" i="112" s="1"/>
  <c r="X27" i="112"/>
  <c r="W32" i="112"/>
  <c r="G25" i="112" l="1"/>
  <c r="S12" i="112"/>
  <c r="S11" i="112"/>
  <c r="S10" i="112"/>
  <c r="S9" i="112"/>
  <c r="S8" i="112"/>
  <c r="S7" i="112"/>
  <c r="S6" i="112"/>
  <c r="S5" i="112"/>
  <c r="S4" i="112"/>
  <c r="F31" i="112"/>
  <c r="F36" i="111" l="1"/>
  <c r="G33" i="111"/>
  <c r="W31" i="111"/>
  <c r="W30" i="111"/>
  <c r="W27" i="111"/>
  <c r="C27" i="111"/>
  <c r="E26" i="111"/>
  <c r="E27" i="111" s="1"/>
  <c r="F27" i="111" s="1"/>
  <c r="F25" i="111"/>
  <c r="W24" i="111"/>
  <c r="F23" i="111"/>
  <c r="W22" i="111"/>
  <c r="F20" i="111"/>
  <c r="F19" i="111"/>
  <c r="F16" i="111"/>
  <c r="F15" i="111"/>
  <c r="W12" i="111"/>
  <c r="V12" i="111"/>
  <c r="M12" i="111"/>
  <c r="N12" i="111" s="1"/>
  <c r="I12" i="111"/>
  <c r="F12" i="111"/>
  <c r="W11" i="111"/>
  <c r="V11" i="111"/>
  <c r="M11" i="111"/>
  <c r="N11" i="111" s="1"/>
  <c r="I11" i="111"/>
  <c r="F11" i="111"/>
  <c r="W10" i="111"/>
  <c r="V10" i="111"/>
  <c r="M10" i="111"/>
  <c r="N10" i="111" s="1"/>
  <c r="I10" i="111"/>
  <c r="W9" i="111"/>
  <c r="V9" i="111"/>
  <c r="M9" i="111"/>
  <c r="N9" i="111" s="1"/>
  <c r="I9" i="111"/>
  <c r="W8" i="111"/>
  <c r="V8" i="111"/>
  <c r="M8" i="111"/>
  <c r="N8" i="111" s="1"/>
  <c r="I8" i="111"/>
  <c r="W7" i="111"/>
  <c r="V7" i="111"/>
  <c r="M7" i="111"/>
  <c r="N7" i="111" s="1"/>
  <c r="I7" i="111"/>
  <c r="W6" i="111"/>
  <c r="V6" i="111"/>
  <c r="M6" i="111"/>
  <c r="N6" i="111" s="1"/>
  <c r="I6" i="111"/>
  <c r="AE5" i="111"/>
  <c r="W5" i="111"/>
  <c r="V5" i="111"/>
  <c r="M5" i="111"/>
  <c r="N5" i="111" s="1"/>
  <c r="I5" i="111"/>
  <c r="W4" i="111"/>
  <c r="V4" i="111"/>
  <c r="M4" i="111"/>
  <c r="N4" i="111" s="1"/>
  <c r="I4" i="111"/>
  <c r="W33" i="111" l="1"/>
  <c r="F13" i="111"/>
  <c r="F17" i="111"/>
  <c r="F21" i="111"/>
  <c r="F24" i="111"/>
  <c r="F14" i="111"/>
  <c r="F26" i="111" s="1"/>
  <c r="F18" i="111"/>
  <c r="F22" i="111"/>
  <c r="F50" i="156"/>
  <c r="J50" i="156" s="1"/>
  <c r="V36" i="111"/>
  <c r="U4" i="111"/>
  <c r="X4" i="111" s="1"/>
  <c r="Y4" i="111" s="1"/>
  <c r="Z4" i="111" s="1"/>
  <c r="Q4" i="111" s="1"/>
  <c r="P4" i="111"/>
  <c r="R4" i="111" s="1"/>
  <c r="U5" i="111"/>
  <c r="X5" i="111" s="1"/>
  <c r="Y5" i="111" s="1"/>
  <c r="Z5" i="111" s="1"/>
  <c r="Q5" i="111" s="1"/>
  <c r="P5" i="111"/>
  <c r="R5" i="111" s="1"/>
  <c r="U6" i="111"/>
  <c r="X6" i="111" s="1"/>
  <c r="Y6" i="111" s="1"/>
  <c r="Z6" i="111" s="1"/>
  <c r="Q6" i="111" s="1"/>
  <c r="P6" i="111"/>
  <c r="R6" i="111" s="1"/>
  <c r="U7" i="111"/>
  <c r="X7" i="111" s="1"/>
  <c r="Y7" i="111" s="1"/>
  <c r="Z7" i="111" s="1"/>
  <c r="Q7" i="111" s="1"/>
  <c r="P7" i="111"/>
  <c r="R7" i="111" s="1"/>
  <c r="U8" i="111"/>
  <c r="X8" i="111" s="1"/>
  <c r="Y8" i="111" s="1"/>
  <c r="Z8" i="111" s="1"/>
  <c r="Q8" i="111" s="1"/>
  <c r="P8" i="111"/>
  <c r="R8" i="111" s="1"/>
  <c r="U9" i="111"/>
  <c r="X9" i="111" s="1"/>
  <c r="Y9" i="111" s="1"/>
  <c r="Z9" i="111" s="1"/>
  <c r="Q9" i="111" s="1"/>
  <c r="P9" i="111"/>
  <c r="R9" i="111" s="1"/>
  <c r="U10" i="111"/>
  <c r="X10" i="111" s="1"/>
  <c r="Y10" i="111" s="1"/>
  <c r="Z10" i="111" s="1"/>
  <c r="Q10" i="111" s="1"/>
  <c r="P10" i="111"/>
  <c r="R10" i="111" s="1"/>
  <c r="U11" i="111"/>
  <c r="X11" i="111" s="1"/>
  <c r="Y11" i="111" s="1"/>
  <c r="Z11" i="111" s="1"/>
  <c r="Q11" i="111" s="1"/>
  <c r="P11" i="111"/>
  <c r="R11" i="111" s="1"/>
  <c r="U12" i="111"/>
  <c r="X12" i="111" s="1"/>
  <c r="Y12" i="111" s="1"/>
  <c r="Z12" i="111" s="1"/>
  <c r="Q12" i="111" s="1"/>
  <c r="P12" i="111"/>
  <c r="R12" i="111" s="1"/>
  <c r="G12" i="111"/>
  <c r="G13" i="111" s="1"/>
  <c r="G14" i="111" s="1"/>
  <c r="G15" i="111" s="1"/>
  <c r="G16" i="111" s="1"/>
  <c r="G17" i="111" s="1"/>
  <c r="G18" i="111" s="1"/>
  <c r="G19" i="111" s="1"/>
  <c r="G20" i="111" s="1"/>
  <c r="G21" i="111" s="1"/>
  <c r="G22" i="111" s="1"/>
  <c r="G23" i="111" s="1"/>
  <c r="G24" i="111" s="1"/>
  <c r="X27" i="111"/>
  <c r="W32" i="111"/>
  <c r="G25" i="111" l="1"/>
  <c r="S12" i="111"/>
  <c r="S11" i="111"/>
  <c r="S10" i="111"/>
  <c r="S9" i="111"/>
  <c r="S8" i="111"/>
  <c r="S7" i="111"/>
  <c r="S6" i="111"/>
  <c r="S5" i="111"/>
  <c r="S4" i="111"/>
  <c r="F31" i="111"/>
  <c r="F36" i="109" l="1"/>
  <c r="G33" i="109"/>
  <c r="W31" i="109"/>
  <c r="W30" i="109"/>
  <c r="W27" i="109"/>
  <c r="C27" i="109"/>
  <c r="E26" i="109"/>
  <c r="E27" i="109" s="1"/>
  <c r="F27" i="109" s="1"/>
  <c r="F25" i="109"/>
  <c r="W22" i="109"/>
  <c r="F22" i="109"/>
  <c r="F19" i="109"/>
  <c r="F18" i="109"/>
  <c r="F15" i="109"/>
  <c r="F14" i="109"/>
  <c r="W12" i="109"/>
  <c r="V12" i="109"/>
  <c r="M12" i="109"/>
  <c r="N12" i="109" s="1"/>
  <c r="I12" i="109"/>
  <c r="W11" i="109"/>
  <c r="V11" i="109"/>
  <c r="M11" i="109"/>
  <c r="N11" i="109" s="1"/>
  <c r="I11" i="109"/>
  <c r="F11" i="109"/>
  <c r="W10" i="109"/>
  <c r="V10" i="109"/>
  <c r="M10" i="109"/>
  <c r="N10" i="109" s="1"/>
  <c r="I10" i="109"/>
  <c r="W9" i="109"/>
  <c r="V9" i="109"/>
  <c r="M9" i="109"/>
  <c r="N9" i="109" s="1"/>
  <c r="I9" i="109"/>
  <c r="W8" i="109"/>
  <c r="V8" i="109"/>
  <c r="M8" i="109"/>
  <c r="N8" i="109" s="1"/>
  <c r="I8" i="109"/>
  <c r="W7" i="109"/>
  <c r="V7" i="109"/>
  <c r="M7" i="109"/>
  <c r="N7" i="109" s="1"/>
  <c r="I7" i="109"/>
  <c r="W6" i="109"/>
  <c r="V6" i="109"/>
  <c r="M6" i="109"/>
  <c r="N6" i="109" s="1"/>
  <c r="I6" i="109"/>
  <c r="AE5" i="109"/>
  <c r="W5" i="109"/>
  <c r="V5" i="109"/>
  <c r="M5" i="109"/>
  <c r="N5" i="109" s="1"/>
  <c r="I5" i="109"/>
  <c r="W4" i="109"/>
  <c r="V4" i="109"/>
  <c r="M4" i="109"/>
  <c r="N4" i="109" s="1"/>
  <c r="I4" i="109"/>
  <c r="F12" i="109" l="1"/>
  <c r="F16" i="109"/>
  <c r="F20" i="109"/>
  <c r="F23" i="109"/>
  <c r="F13" i="109"/>
  <c r="F17" i="109"/>
  <c r="F21" i="109"/>
  <c r="F24" i="109"/>
  <c r="W33" i="109"/>
  <c r="U4" i="109"/>
  <c r="X4" i="109" s="1"/>
  <c r="Y4" i="109" s="1"/>
  <c r="Z4" i="109" s="1"/>
  <c r="Q4" i="109" s="1"/>
  <c r="P4" i="109"/>
  <c r="R4" i="109" s="1"/>
  <c r="U5" i="109"/>
  <c r="X5" i="109" s="1"/>
  <c r="Y5" i="109" s="1"/>
  <c r="Z5" i="109" s="1"/>
  <c r="Q5" i="109" s="1"/>
  <c r="P5" i="109"/>
  <c r="R5" i="109" s="1"/>
  <c r="U6" i="109"/>
  <c r="X6" i="109" s="1"/>
  <c r="Y6" i="109" s="1"/>
  <c r="Z6" i="109" s="1"/>
  <c r="Q6" i="109" s="1"/>
  <c r="P6" i="109"/>
  <c r="R6" i="109" s="1"/>
  <c r="U7" i="109"/>
  <c r="X7" i="109" s="1"/>
  <c r="Y7" i="109" s="1"/>
  <c r="Z7" i="109" s="1"/>
  <c r="Q7" i="109" s="1"/>
  <c r="P7" i="109"/>
  <c r="R7" i="109" s="1"/>
  <c r="U8" i="109"/>
  <c r="X8" i="109" s="1"/>
  <c r="Y8" i="109" s="1"/>
  <c r="Z8" i="109" s="1"/>
  <c r="Q8" i="109" s="1"/>
  <c r="P8" i="109"/>
  <c r="R8" i="109" s="1"/>
  <c r="U9" i="109"/>
  <c r="X9" i="109" s="1"/>
  <c r="Y9" i="109" s="1"/>
  <c r="Z9" i="109" s="1"/>
  <c r="Q9" i="109" s="1"/>
  <c r="P9" i="109"/>
  <c r="R9" i="109" s="1"/>
  <c r="U10" i="109"/>
  <c r="X10" i="109" s="1"/>
  <c r="Y10" i="109" s="1"/>
  <c r="Z10" i="109" s="1"/>
  <c r="Q10" i="109" s="1"/>
  <c r="P10" i="109"/>
  <c r="R10" i="109" s="1"/>
  <c r="U11" i="109"/>
  <c r="X11" i="109" s="1"/>
  <c r="Y11" i="109" s="1"/>
  <c r="Z11" i="109" s="1"/>
  <c r="Q11" i="109" s="1"/>
  <c r="P11" i="109"/>
  <c r="R11" i="109" s="1"/>
  <c r="U12" i="109"/>
  <c r="X12" i="109" s="1"/>
  <c r="Y12" i="109" s="1"/>
  <c r="Z12" i="109" s="1"/>
  <c r="Q12" i="109" s="1"/>
  <c r="P12" i="109"/>
  <c r="R12" i="109" s="1"/>
  <c r="G12" i="109"/>
  <c r="G13" i="109" s="1"/>
  <c r="G14" i="109" s="1"/>
  <c r="G15" i="109" s="1"/>
  <c r="X27" i="109"/>
  <c r="W32" i="109"/>
  <c r="G16" i="109" l="1"/>
  <c r="G17" i="109" s="1"/>
  <c r="G18" i="109" s="1"/>
  <c r="G19" i="109" s="1"/>
  <c r="G20" i="109" s="1"/>
  <c r="G21" i="109" s="1"/>
  <c r="G22" i="109" s="1"/>
  <c r="G23" i="109" s="1"/>
  <c r="G24" i="109" s="1"/>
  <c r="F26" i="109"/>
  <c r="G25" i="109"/>
  <c r="S12" i="109"/>
  <c r="S11" i="109"/>
  <c r="S10" i="109"/>
  <c r="S9" i="109"/>
  <c r="S8" i="109"/>
  <c r="S7" i="109"/>
  <c r="S6" i="109"/>
  <c r="S5" i="109"/>
  <c r="S4" i="109"/>
  <c r="F31" i="109"/>
  <c r="F36" i="108" l="1"/>
  <c r="G33" i="108"/>
  <c r="W31" i="108"/>
  <c r="W30" i="108"/>
  <c r="W27" i="108"/>
  <c r="G48" i="156" s="1"/>
  <c r="C27" i="108"/>
  <c r="E26" i="108"/>
  <c r="E27" i="108" s="1"/>
  <c r="F27" i="108" s="1"/>
  <c r="F25" i="108"/>
  <c r="W24" i="108"/>
  <c r="F48" i="156" s="1"/>
  <c r="J48" i="156" s="1"/>
  <c r="F24" i="108"/>
  <c r="F23" i="108"/>
  <c r="W22" i="108"/>
  <c r="F21" i="108"/>
  <c r="F20" i="108"/>
  <c r="F19" i="108"/>
  <c r="F17" i="108"/>
  <c r="F16" i="108"/>
  <c r="F15" i="108"/>
  <c r="F13" i="108"/>
  <c r="W12" i="108"/>
  <c r="V12" i="108"/>
  <c r="M12" i="108"/>
  <c r="I12" i="108"/>
  <c r="F12" i="108"/>
  <c r="W11" i="108"/>
  <c r="V11" i="108"/>
  <c r="M11" i="108"/>
  <c r="N11" i="108" s="1"/>
  <c r="I11" i="108"/>
  <c r="F11" i="108"/>
  <c r="W10" i="108"/>
  <c r="V10" i="108"/>
  <c r="M10" i="108"/>
  <c r="N10" i="108" s="1"/>
  <c r="I10" i="108"/>
  <c r="W9" i="108"/>
  <c r="V9" i="108"/>
  <c r="M9" i="108"/>
  <c r="N9" i="108" s="1"/>
  <c r="I9" i="108"/>
  <c r="W8" i="108"/>
  <c r="V8" i="108"/>
  <c r="M8" i="108"/>
  <c r="N8" i="108" s="1"/>
  <c r="I8" i="108"/>
  <c r="W7" i="108"/>
  <c r="V7" i="108"/>
  <c r="M7" i="108"/>
  <c r="N7" i="108" s="1"/>
  <c r="I7" i="108"/>
  <c r="W6" i="108"/>
  <c r="V6" i="108"/>
  <c r="M6" i="108"/>
  <c r="N6" i="108" s="1"/>
  <c r="I6" i="108"/>
  <c r="AE5" i="108"/>
  <c r="W5" i="108"/>
  <c r="V5" i="108"/>
  <c r="M5" i="108"/>
  <c r="N5" i="108" s="1"/>
  <c r="I5" i="108"/>
  <c r="W4" i="108"/>
  <c r="V4" i="108"/>
  <c r="M4" i="108"/>
  <c r="N4" i="108" s="1"/>
  <c r="I4" i="108"/>
  <c r="N12" i="108" l="1"/>
  <c r="U12" i="108" s="1"/>
  <c r="X12" i="108" s="1"/>
  <c r="Y12" i="108" s="1"/>
  <c r="Z12" i="108" s="1"/>
  <c r="Q12" i="108" s="1"/>
  <c r="F14" i="108"/>
  <c r="F18" i="108"/>
  <c r="F22" i="108"/>
  <c r="F26" i="108" s="1"/>
  <c r="V36" i="108"/>
  <c r="W33" i="108"/>
  <c r="U4" i="108"/>
  <c r="X4" i="108" s="1"/>
  <c r="Y4" i="108" s="1"/>
  <c r="Z4" i="108" s="1"/>
  <c r="Q4" i="108" s="1"/>
  <c r="P4" i="108"/>
  <c r="R4" i="108" s="1"/>
  <c r="U5" i="108"/>
  <c r="X5" i="108" s="1"/>
  <c r="Y5" i="108" s="1"/>
  <c r="Z5" i="108" s="1"/>
  <c r="Q5" i="108" s="1"/>
  <c r="P5" i="108"/>
  <c r="R5" i="108" s="1"/>
  <c r="U6" i="108"/>
  <c r="X6" i="108" s="1"/>
  <c r="Y6" i="108" s="1"/>
  <c r="Z6" i="108" s="1"/>
  <c r="Q6" i="108" s="1"/>
  <c r="P6" i="108"/>
  <c r="R6" i="108" s="1"/>
  <c r="U7" i="108"/>
  <c r="X7" i="108" s="1"/>
  <c r="Y7" i="108" s="1"/>
  <c r="Z7" i="108" s="1"/>
  <c r="Q7" i="108" s="1"/>
  <c r="P7" i="108"/>
  <c r="R7" i="108" s="1"/>
  <c r="U8" i="108"/>
  <c r="X8" i="108" s="1"/>
  <c r="Y8" i="108" s="1"/>
  <c r="Z8" i="108" s="1"/>
  <c r="Q8" i="108" s="1"/>
  <c r="P8" i="108"/>
  <c r="R8" i="108" s="1"/>
  <c r="U9" i="108"/>
  <c r="X9" i="108" s="1"/>
  <c r="Y9" i="108" s="1"/>
  <c r="Z9" i="108" s="1"/>
  <c r="Q9" i="108" s="1"/>
  <c r="P9" i="108"/>
  <c r="R9" i="108" s="1"/>
  <c r="U10" i="108"/>
  <c r="X10" i="108" s="1"/>
  <c r="Y10" i="108" s="1"/>
  <c r="Z10" i="108" s="1"/>
  <c r="Q10" i="108" s="1"/>
  <c r="P10" i="108"/>
  <c r="R10" i="108" s="1"/>
  <c r="U11" i="108"/>
  <c r="X11" i="108" s="1"/>
  <c r="Y11" i="108" s="1"/>
  <c r="Z11" i="108" s="1"/>
  <c r="Q11" i="108" s="1"/>
  <c r="P11" i="108"/>
  <c r="R11" i="108" s="1"/>
  <c r="G12" i="108"/>
  <c r="G13" i="108" s="1"/>
  <c r="G14" i="108" s="1"/>
  <c r="G15" i="108" s="1"/>
  <c r="G16" i="108" s="1"/>
  <c r="G17" i="108" s="1"/>
  <c r="G18" i="108" s="1"/>
  <c r="G19" i="108" s="1"/>
  <c r="G20" i="108" s="1"/>
  <c r="G21" i="108" s="1"/>
  <c r="G22" i="108" s="1"/>
  <c r="G23" i="108" s="1"/>
  <c r="G24" i="108" s="1"/>
  <c r="X27" i="108"/>
  <c r="W32" i="108"/>
  <c r="P12" i="108" l="1"/>
  <c r="R12" i="108" s="1"/>
  <c r="S12" i="108" s="1"/>
  <c r="G25" i="108"/>
  <c r="S11" i="108"/>
  <c r="S10" i="108"/>
  <c r="S9" i="108"/>
  <c r="S8" i="108"/>
  <c r="S7" i="108"/>
  <c r="S6" i="108"/>
  <c r="S5" i="108"/>
  <c r="S4" i="108"/>
  <c r="F31" i="108"/>
  <c r="F36" i="107" l="1"/>
  <c r="G33" i="107"/>
  <c r="W31" i="107"/>
  <c r="W30" i="107"/>
  <c r="W27" i="107"/>
  <c r="C27" i="107"/>
  <c r="E26" i="107"/>
  <c r="E27" i="107" s="1"/>
  <c r="F27" i="107" s="1"/>
  <c r="F25" i="107"/>
  <c r="W24" i="107"/>
  <c r="F47" i="156" s="1"/>
  <c r="J47" i="156" s="1"/>
  <c r="W22" i="107"/>
  <c r="F20" i="107"/>
  <c r="F19" i="107"/>
  <c r="F16" i="107"/>
  <c r="F15" i="107"/>
  <c r="W12" i="107"/>
  <c r="V12" i="107"/>
  <c r="M12" i="107"/>
  <c r="N12" i="107" s="1"/>
  <c r="I12" i="107"/>
  <c r="F12" i="107"/>
  <c r="W11" i="107"/>
  <c r="V11" i="107"/>
  <c r="M11" i="107"/>
  <c r="N11" i="107" s="1"/>
  <c r="I11" i="107"/>
  <c r="F11" i="107"/>
  <c r="W10" i="107"/>
  <c r="V10" i="107"/>
  <c r="M10" i="107"/>
  <c r="N10" i="107" s="1"/>
  <c r="I10" i="107"/>
  <c r="W9" i="107"/>
  <c r="V9" i="107"/>
  <c r="M9" i="107"/>
  <c r="N9" i="107" s="1"/>
  <c r="I9" i="107"/>
  <c r="W8" i="107"/>
  <c r="V8" i="107"/>
  <c r="M8" i="107"/>
  <c r="N8" i="107" s="1"/>
  <c r="I8" i="107"/>
  <c r="W7" i="107"/>
  <c r="V7" i="107"/>
  <c r="M7" i="107"/>
  <c r="N7" i="107" s="1"/>
  <c r="I7" i="107"/>
  <c r="W6" i="107"/>
  <c r="V6" i="107"/>
  <c r="M6" i="107"/>
  <c r="N6" i="107" s="1"/>
  <c r="I6" i="107"/>
  <c r="AE5" i="107"/>
  <c r="W5" i="107"/>
  <c r="V5" i="107"/>
  <c r="M5" i="107"/>
  <c r="N5" i="107" s="1"/>
  <c r="I5" i="107"/>
  <c r="W4" i="107"/>
  <c r="V4" i="107"/>
  <c r="M4" i="107"/>
  <c r="N4" i="107" s="1"/>
  <c r="I4" i="107"/>
  <c r="F23" i="107" l="1"/>
  <c r="F13" i="107"/>
  <c r="F26" i="107" s="1"/>
  <c r="F17" i="107"/>
  <c r="F21" i="107"/>
  <c r="F24" i="107"/>
  <c r="F14" i="107"/>
  <c r="F18" i="107"/>
  <c r="F22" i="107"/>
  <c r="V36" i="107"/>
  <c r="W33" i="107"/>
  <c r="U4" i="107"/>
  <c r="X4" i="107" s="1"/>
  <c r="Y4" i="107" s="1"/>
  <c r="Z4" i="107" s="1"/>
  <c r="Q4" i="107" s="1"/>
  <c r="P4" i="107"/>
  <c r="R4" i="107" s="1"/>
  <c r="U5" i="107"/>
  <c r="X5" i="107" s="1"/>
  <c r="Y5" i="107" s="1"/>
  <c r="Z5" i="107" s="1"/>
  <c r="Q5" i="107" s="1"/>
  <c r="P5" i="107"/>
  <c r="R5" i="107" s="1"/>
  <c r="U6" i="107"/>
  <c r="X6" i="107" s="1"/>
  <c r="Y6" i="107" s="1"/>
  <c r="Z6" i="107" s="1"/>
  <c r="Q6" i="107" s="1"/>
  <c r="P6" i="107"/>
  <c r="R6" i="107" s="1"/>
  <c r="U7" i="107"/>
  <c r="X7" i="107" s="1"/>
  <c r="Y7" i="107" s="1"/>
  <c r="Z7" i="107" s="1"/>
  <c r="Q7" i="107" s="1"/>
  <c r="P7" i="107"/>
  <c r="R7" i="107" s="1"/>
  <c r="U8" i="107"/>
  <c r="X8" i="107" s="1"/>
  <c r="Y8" i="107" s="1"/>
  <c r="Z8" i="107" s="1"/>
  <c r="Q8" i="107" s="1"/>
  <c r="P8" i="107"/>
  <c r="R8" i="107" s="1"/>
  <c r="U9" i="107"/>
  <c r="X9" i="107" s="1"/>
  <c r="Y9" i="107" s="1"/>
  <c r="Z9" i="107" s="1"/>
  <c r="Q9" i="107" s="1"/>
  <c r="P9" i="107"/>
  <c r="R9" i="107" s="1"/>
  <c r="U10" i="107"/>
  <c r="X10" i="107" s="1"/>
  <c r="Y10" i="107" s="1"/>
  <c r="Z10" i="107" s="1"/>
  <c r="Q10" i="107" s="1"/>
  <c r="P10" i="107"/>
  <c r="R10" i="107" s="1"/>
  <c r="U11" i="107"/>
  <c r="X11" i="107" s="1"/>
  <c r="Y11" i="107" s="1"/>
  <c r="Z11" i="107" s="1"/>
  <c r="Q11" i="107" s="1"/>
  <c r="P11" i="107"/>
  <c r="R11" i="107" s="1"/>
  <c r="U12" i="107"/>
  <c r="X12" i="107" s="1"/>
  <c r="Y12" i="107" s="1"/>
  <c r="Z12" i="107" s="1"/>
  <c r="Q12" i="107" s="1"/>
  <c r="P12" i="107"/>
  <c r="R12" i="107" s="1"/>
  <c r="G12" i="107"/>
  <c r="G13" i="107" s="1"/>
  <c r="G14" i="107" s="1"/>
  <c r="G15" i="107" s="1"/>
  <c r="G16" i="107" s="1"/>
  <c r="G17" i="107" s="1"/>
  <c r="G18" i="107" s="1"/>
  <c r="G19" i="107" s="1"/>
  <c r="G20" i="107" s="1"/>
  <c r="G21" i="107" s="1"/>
  <c r="G22" i="107" s="1"/>
  <c r="G23" i="107" s="1"/>
  <c r="G24" i="107" s="1"/>
  <c r="X27" i="107"/>
  <c r="W32" i="107"/>
  <c r="G25" i="107" l="1"/>
  <c r="S12" i="107"/>
  <c r="S11" i="107"/>
  <c r="S10" i="107"/>
  <c r="S9" i="107"/>
  <c r="S8" i="107"/>
  <c r="S7" i="107"/>
  <c r="S6" i="107"/>
  <c r="S5" i="107"/>
  <c r="S4" i="107"/>
  <c r="F31" i="107"/>
  <c r="F36" i="106" l="1"/>
  <c r="G33" i="106"/>
  <c r="W31" i="106"/>
  <c r="W30" i="106"/>
  <c r="W27" i="106"/>
  <c r="C27" i="106"/>
  <c r="E26" i="106"/>
  <c r="E27" i="106" s="1"/>
  <c r="F27" i="106" s="1"/>
  <c r="F25" i="106"/>
  <c r="W24" i="106"/>
  <c r="F23" i="106"/>
  <c r="W22" i="106"/>
  <c r="F20" i="106"/>
  <c r="F19" i="106"/>
  <c r="F16" i="106"/>
  <c r="F15" i="106"/>
  <c r="W12" i="106"/>
  <c r="V12" i="106"/>
  <c r="M12" i="106"/>
  <c r="N12" i="106" s="1"/>
  <c r="I12" i="106"/>
  <c r="F12" i="106"/>
  <c r="W11" i="106"/>
  <c r="V11" i="106"/>
  <c r="M11" i="106"/>
  <c r="N11" i="106" s="1"/>
  <c r="I11" i="106"/>
  <c r="F11" i="106"/>
  <c r="W10" i="106"/>
  <c r="V10" i="106"/>
  <c r="M10" i="106"/>
  <c r="N10" i="106" s="1"/>
  <c r="I10" i="106"/>
  <c r="W9" i="106"/>
  <c r="V9" i="106"/>
  <c r="M9" i="106"/>
  <c r="N9" i="106" s="1"/>
  <c r="I9" i="106"/>
  <c r="W8" i="106"/>
  <c r="V8" i="106"/>
  <c r="M8" i="106"/>
  <c r="N8" i="106" s="1"/>
  <c r="I8" i="106"/>
  <c r="W7" i="106"/>
  <c r="V7" i="106"/>
  <c r="M7" i="106"/>
  <c r="N7" i="106" s="1"/>
  <c r="I7" i="106"/>
  <c r="W6" i="106"/>
  <c r="V6" i="106"/>
  <c r="M6" i="106"/>
  <c r="N6" i="106" s="1"/>
  <c r="I6" i="106"/>
  <c r="AE5" i="106"/>
  <c r="W5" i="106"/>
  <c r="V5" i="106"/>
  <c r="M5" i="106"/>
  <c r="N5" i="106" s="1"/>
  <c r="I5" i="106"/>
  <c r="W4" i="106"/>
  <c r="V4" i="106"/>
  <c r="M4" i="106"/>
  <c r="N4" i="106" s="1"/>
  <c r="I4" i="106"/>
  <c r="F13" i="106" l="1"/>
  <c r="F17" i="106"/>
  <c r="F21" i="106"/>
  <c r="F24" i="106"/>
  <c r="F14" i="106"/>
  <c r="F18" i="106"/>
  <c r="F26" i="106" s="1"/>
  <c r="F22" i="106"/>
  <c r="F46" i="156"/>
  <c r="J46" i="156" s="1"/>
  <c r="V36" i="106"/>
  <c r="W33" i="106"/>
  <c r="U4" i="106"/>
  <c r="X4" i="106" s="1"/>
  <c r="Y4" i="106" s="1"/>
  <c r="Z4" i="106" s="1"/>
  <c r="Q4" i="106" s="1"/>
  <c r="P4" i="106"/>
  <c r="R4" i="106" s="1"/>
  <c r="U5" i="106"/>
  <c r="X5" i="106" s="1"/>
  <c r="Y5" i="106" s="1"/>
  <c r="Z5" i="106" s="1"/>
  <c r="Q5" i="106" s="1"/>
  <c r="P5" i="106"/>
  <c r="R5" i="106" s="1"/>
  <c r="U6" i="106"/>
  <c r="X6" i="106" s="1"/>
  <c r="Y6" i="106" s="1"/>
  <c r="Z6" i="106" s="1"/>
  <c r="Q6" i="106" s="1"/>
  <c r="P6" i="106"/>
  <c r="R6" i="106" s="1"/>
  <c r="U7" i="106"/>
  <c r="X7" i="106" s="1"/>
  <c r="Y7" i="106" s="1"/>
  <c r="Z7" i="106" s="1"/>
  <c r="Q7" i="106" s="1"/>
  <c r="P7" i="106"/>
  <c r="R7" i="106" s="1"/>
  <c r="U8" i="106"/>
  <c r="X8" i="106" s="1"/>
  <c r="Y8" i="106" s="1"/>
  <c r="Z8" i="106" s="1"/>
  <c r="Q8" i="106" s="1"/>
  <c r="P8" i="106"/>
  <c r="R8" i="106" s="1"/>
  <c r="U9" i="106"/>
  <c r="X9" i="106" s="1"/>
  <c r="Y9" i="106" s="1"/>
  <c r="Z9" i="106" s="1"/>
  <c r="Q9" i="106" s="1"/>
  <c r="P9" i="106"/>
  <c r="R9" i="106" s="1"/>
  <c r="U10" i="106"/>
  <c r="X10" i="106" s="1"/>
  <c r="Y10" i="106" s="1"/>
  <c r="Z10" i="106" s="1"/>
  <c r="Q10" i="106" s="1"/>
  <c r="P10" i="106"/>
  <c r="R10" i="106" s="1"/>
  <c r="U11" i="106"/>
  <c r="X11" i="106" s="1"/>
  <c r="Y11" i="106" s="1"/>
  <c r="Z11" i="106" s="1"/>
  <c r="Q11" i="106" s="1"/>
  <c r="P11" i="106"/>
  <c r="R11" i="106" s="1"/>
  <c r="U12" i="106"/>
  <c r="X12" i="106" s="1"/>
  <c r="Y12" i="106" s="1"/>
  <c r="Z12" i="106" s="1"/>
  <c r="Q12" i="106" s="1"/>
  <c r="P12" i="106"/>
  <c r="R12" i="106" s="1"/>
  <c r="G12" i="106"/>
  <c r="G13" i="106" s="1"/>
  <c r="G14" i="106" s="1"/>
  <c r="G15" i="106" s="1"/>
  <c r="G16" i="106" s="1"/>
  <c r="G17" i="106" s="1"/>
  <c r="G18" i="106" s="1"/>
  <c r="G19" i="106" s="1"/>
  <c r="G20" i="106" s="1"/>
  <c r="G21" i="106" s="1"/>
  <c r="G22" i="106" s="1"/>
  <c r="G23" i="106" s="1"/>
  <c r="G24" i="106" s="1"/>
  <c r="X27" i="106"/>
  <c r="W32" i="106"/>
  <c r="G25" i="106" l="1"/>
  <c r="S12" i="106"/>
  <c r="S11" i="106"/>
  <c r="S10" i="106"/>
  <c r="S9" i="106"/>
  <c r="S8" i="106"/>
  <c r="S7" i="106"/>
  <c r="S6" i="106"/>
  <c r="S5" i="106"/>
  <c r="S4" i="106"/>
  <c r="F31" i="106"/>
  <c r="F36" i="105" l="1"/>
  <c r="G33" i="105"/>
  <c r="W31" i="105"/>
  <c r="W30" i="105"/>
  <c r="W27" i="105"/>
  <c r="C27" i="105"/>
  <c r="E26" i="105"/>
  <c r="E27" i="105" s="1"/>
  <c r="F27" i="105" s="1"/>
  <c r="F25" i="105"/>
  <c r="W24" i="105"/>
  <c r="F23" i="105"/>
  <c r="W22" i="105"/>
  <c r="F20" i="105"/>
  <c r="F19" i="105"/>
  <c r="F16" i="105"/>
  <c r="F15" i="105"/>
  <c r="W12" i="105"/>
  <c r="V12" i="105"/>
  <c r="M12" i="105"/>
  <c r="N12" i="105" s="1"/>
  <c r="I12" i="105"/>
  <c r="F12" i="105"/>
  <c r="W11" i="105"/>
  <c r="V11" i="105"/>
  <c r="M11" i="105"/>
  <c r="N11" i="105" s="1"/>
  <c r="I11" i="105"/>
  <c r="F11" i="105"/>
  <c r="W10" i="105"/>
  <c r="V10" i="105"/>
  <c r="M10" i="105"/>
  <c r="N10" i="105" s="1"/>
  <c r="I10" i="105"/>
  <c r="W9" i="105"/>
  <c r="V9" i="105"/>
  <c r="M9" i="105"/>
  <c r="N9" i="105" s="1"/>
  <c r="I9" i="105"/>
  <c r="W8" i="105"/>
  <c r="V8" i="105"/>
  <c r="M8" i="105"/>
  <c r="N8" i="105" s="1"/>
  <c r="I8" i="105"/>
  <c r="W7" i="105"/>
  <c r="V7" i="105"/>
  <c r="M7" i="105"/>
  <c r="N7" i="105" s="1"/>
  <c r="I7" i="105"/>
  <c r="W6" i="105"/>
  <c r="V6" i="105"/>
  <c r="M6" i="105"/>
  <c r="N6" i="105" s="1"/>
  <c r="I6" i="105"/>
  <c r="AE5" i="105"/>
  <c r="W5" i="105"/>
  <c r="V5" i="105"/>
  <c r="M5" i="105"/>
  <c r="N5" i="105" s="1"/>
  <c r="I5" i="105"/>
  <c r="W4" i="105"/>
  <c r="V4" i="105"/>
  <c r="M4" i="105"/>
  <c r="N4" i="105" s="1"/>
  <c r="I4" i="105"/>
  <c r="F13" i="105" l="1"/>
  <c r="F26" i="105" s="1"/>
  <c r="F17" i="105"/>
  <c r="F21" i="105"/>
  <c r="F24" i="105"/>
  <c r="F14" i="105"/>
  <c r="F18" i="105"/>
  <c r="F22" i="105"/>
  <c r="F45" i="156"/>
  <c r="J45" i="156" s="1"/>
  <c r="V36" i="105"/>
  <c r="W33" i="105"/>
  <c r="U4" i="105"/>
  <c r="X4" i="105" s="1"/>
  <c r="Y4" i="105" s="1"/>
  <c r="Z4" i="105" s="1"/>
  <c r="Q4" i="105" s="1"/>
  <c r="P4" i="105"/>
  <c r="R4" i="105" s="1"/>
  <c r="U5" i="105"/>
  <c r="X5" i="105" s="1"/>
  <c r="Y5" i="105" s="1"/>
  <c r="Z5" i="105" s="1"/>
  <c r="Q5" i="105" s="1"/>
  <c r="P5" i="105"/>
  <c r="R5" i="105" s="1"/>
  <c r="U6" i="105"/>
  <c r="X6" i="105" s="1"/>
  <c r="Y6" i="105" s="1"/>
  <c r="Z6" i="105" s="1"/>
  <c r="Q6" i="105" s="1"/>
  <c r="P6" i="105"/>
  <c r="R6" i="105" s="1"/>
  <c r="U7" i="105"/>
  <c r="X7" i="105" s="1"/>
  <c r="Y7" i="105" s="1"/>
  <c r="Z7" i="105" s="1"/>
  <c r="Q7" i="105" s="1"/>
  <c r="P7" i="105"/>
  <c r="R7" i="105" s="1"/>
  <c r="U8" i="105"/>
  <c r="X8" i="105" s="1"/>
  <c r="Y8" i="105" s="1"/>
  <c r="Z8" i="105" s="1"/>
  <c r="Q8" i="105" s="1"/>
  <c r="P8" i="105"/>
  <c r="R8" i="105" s="1"/>
  <c r="U9" i="105"/>
  <c r="X9" i="105" s="1"/>
  <c r="Y9" i="105" s="1"/>
  <c r="Z9" i="105" s="1"/>
  <c r="Q9" i="105" s="1"/>
  <c r="P9" i="105"/>
  <c r="R9" i="105" s="1"/>
  <c r="U10" i="105"/>
  <c r="X10" i="105" s="1"/>
  <c r="Y10" i="105" s="1"/>
  <c r="Z10" i="105" s="1"/>
  <c r="Q10" i="105" s="1"/>
  <c r="P10" i="105"/>
  <c r="R10" i="105" s="1"/>
  <c r="U11" i="105"/>
  <c r="X11" i="105" s="1"/>
  <c r="Y11" i="105" s="1"/>
  <c r="Z11" i="105" s="1"/>
  <c r="Q11" i="105" s="1"/>
  <c r="P11" i="105"/>
  <c r="R11" i="105" s="1"/>
  <c r="U12" i="105"/>
  <c r="X12" i="105" s="1"/>
  <c r="Y12" i="105" s="1"/>
  <c r="Z12" i="105" s="1"/>
  <c r="Q12" i="105" s="1"/>
  <c r="P12" i="105"/>
  <c r="R12" i="105" s="1"/>
  <c r="G12" i="105"/>
  <c r="G13" i="105" s="1"/>
  <c r="G14" i="105" s="1"/>
  <c r="G15" i="105" s="1"/>
  <c r="G16" i="105" s="1"/>
  <c r="G17" i="105" s="1"/>
  <c r="G18" i="105" s="1"/>
  <c r="G19" i="105" s="1"/>
  <c r="G20" i="105" s="1"/>
  <c r="G21" i="105" s="1"/>
  <c r="G22" i="105" s="1"/>
  <c r="G23" i="105" s="1"/>
  <c r="G24" i="105" s="1"/>
  <c r="X27" i="105"/>
  <c r="W32" i="105"/>
  <c r="G25" i="105" l="1"/>
  <c r="S12" i="105"/>
  <c r="S11" i="105"/>
  <c r="S10" i="105"/>
  <c r="S9" i="105"/>
  <c r="S8" i="105"/>
  <c r="S7" i="105"/>
  <c r="S6" i="105"/>
  <c r="S5" i="105"/>
  <c r="S4" i="105"/>
  <c r="F31" i="105"/>
  <c r="F36" i="104" l="1"/>
  <c r="G33" i="104"/>
  <c r="W31" i="104"/>
  <c r="W30" i="104"/>
  <c r="W27" i="104"/>
  <c r="C27" i="104"/>
  <c r="E26" i="104"/>
  <c r="E27" i="104" s="1"/>
  <c r="F27" i="104" s="1"/>
  <c r="F25" i="104"/>
  <c r="W24" i="104"/>
  <c r="F44" i="156" s="1"/>
  <c r="J44" i="156" s="1"/>
  <c r="W22" i="104"/>
  <c r="F20" i="104"/>
  <c r="F19" i="104"/>
  <c r="F16" i="104"/>
  <c r="F15" i="104"/>
  <c r="W12" i="104"/>
  <c r="V12" i="104"/>
  <c r="M12" i="104"/>
  <c r="N12" i="104" s="1"/>
  <c r="I12" i="104"/>
  <c r="F12" i="104"/>
  <c r="W11" i="104"/>
  <c r="V11" i="104"/>
  <c r="M11" i="104"/>
  <c r="N11" i="104" s="1"/>
  <c r="I11" i="104"/>
  <c r="F11" i="104"/>
  <c r="W10" i="104"/>
  <c r="V10" i="104"/>
  <c r="M10" i="104"/>
  <c r="N10" i="104" s="1"/>
  <c r="I10" i="104"/>
  <c r="W9" i="104"/>
  <c r="V9" i="104"/>
  <c r="M9" i="104"/>
  <c r="N9" i="104" s="1"/>
  <c r="I9" i="104"/>
  <c r="W8" i="104"/>
  <c r="V8" i="104"/>
  <c r="M8" i="104"/>
  <c r="N8" i="104" s="1"/>
  <c r="I8" i="104"/>
  <c r="W7" i="104"/>
  <c r="V7" i="104"/>
  <c r="M7" i="104"/>
  <c r="N7" i="104" s="1"/>
  <c r="I7" i="104"/>
  <c r="W6" i="104"/>
  <c r="V6" i="104"/>
  <c r="M6" i="104"/>
  <c r="N6" i="104" s="1"/>
  <c r="I6" i="104"/>
  <c r="AE5" i="104"/>
  <c r="W5" i="104"/>
  <c r="V5" i="104"/>
  <c r="M5" i="104"/>
  <c r="N5" i="104" s="1"/>
  <c r="I5" i="104"/>
  <c r="W4" i="104"/>
  <c r="V4" i="104"/>
  <c r="M4" i="104"/>
  <c r="N4" i="104" s="1"/>
  <c r="I4" i="104"/>
  <c r="F13" i="104" l="1"/>
  <c r="F17" i="104"/>
  <c r="F26" i="104" s="1"/>
  <c r="F21" i="104"/>
  <c r="F24" i="104"/>
  <c r="F23" i="104"/>
  <c r="F14" i="104"/>
  <c r="F18" i="104"/>
  <c r="F22" i="104"/>
  <c r="V36" i="104"/>
  <c r="W33" i="104"/>
  <c r="U4" i="104"/>
  <c r="X4" i="104" s="1"/>
  <c r="Y4" i="104" s="1"/>
  <c r="Z4" i="104" s="1"/>
  <c r="Q4" i="104" s="1"/>
  <c r="P4" i="104"/>
  <c r="R4" i="104" s="1"/>
  <c r="U5" i="104"/>
  <c r="X5" i="104" s="1"/>
  <c r="Y5" i="104" s="1"/>
  <c r="Z5" i="104" s="1"/>
  <c r="Q5" i="104" s="1"/>
  <c r="P5" i="104"/>
  <c r="R5" i="104" s="1"/>
  <c r="U6" i="104"/>
  <c r="X6" i="104" s="1"/>
  <c r="Y6" i="104" s="1"/>
  <c r="Z6" i="104" s="1"/>
  <c r="Q6" i="104" s="1"/>
  <c r="P6" i="104"/>
  <c r="R6" i="104" s="1"/>
  <c r="U7" i="104"/>
  <c r="X7" i="104" s="1"/>
  <c r="Y7" i="104" s="1"/>
  <c r="Z7" i="104" s="1"/>
  <c r="Q7" i="104" s="1"/>
  <c r="P7" i="104"/>
  <c r="R7" i="104" s="1"/>
  <c r="U8" i="104"/>
  <c r="X8" i="104" s="1"/>
  <c r="Y8" i="104" s="1"/>
  <c r="Z8" i="104" s="1"/>
  <c r="Q8" i="104" s="1"/>
  <c r="P8" i="104"/>
  <c r="R8" i="104" s="1"/>
  <c r="U9" i="104"/>
  <c r="X9" i="104" s="1"/>
  <c r="Y9" i="104" s="1"/>
  <c r="Z9" i="104" s="1"/>
  <c r="Q9" i="104" s="1"/>
  <c r="P9" i="104"/>
  <c r="R9" i="104" s="1"/>
  <c r="U10" i="104"/>
  <c r="X10" i="104" s="1"/>
  <c r="Y10" i="104" s="1"/>
  <c r="Z10" i="104" s="1"/>
  <c r="Q10" i="104" s="1"/>
  <c r="P10" i="104"/>
  <c r="R10" i="104" s="1"/>
  <c r="U11" i="104"/>
  <c r="X11" i="104" s="1"/>
  <c r="Y11" i="104" s="1"/>
  <c r="Z11" i="104" s="1"/>
  <c r="Q11" i="104" s="1"/>
  <c r="P11" i="104"/>
  <c r="R11" i="104" s="1"/>
  <c r="U12" i="104"/>
  <c r="X12" i="104" s="1"/>
  <c r="Y12" i="104" s="1"/>
  <c r="Z12" i="104" s="1"/>
  <c r="Q12" i="104" s="1"/>
  <c r="P12" i="104"/>
  <c r="R12" i="104" s="1"/>
  <c r="G12" i="104"/>
  <c r="G13" i="104" s="1"/>
  <c r="G14" i="104" s="1"/>
  <c r="G15" i="104" s="1"/>
  <c r="G16" i="104" s="1"/>
  <c r="G17" i="104" s="1"/>
  <c r="G18" i="104" s="1"/>
  <c r="G19" i="104" s="1"/>
  <c r="G20" i="104" s="1"/>
  <c r="G21" i="104" s="1"/>
  <c r="G22" i="104" s="1"/>
  <c r="G23" i="104" s="1"/>
  <c r="G24" i="104" s="1"/>
  <c r="X27" i="104"/>
  <c r="W32" i="104"/>
  <c r="G25" i="104" l="1"/>
  <c r="S12" i="104"/>
  <c r="S11" i="104"/>
  <c r="S10" i="104"/>
  <c r="S9" i="104"/>
  <c r="S8" i="104"/>
  <c r="S7" i="104"/>
  <c r="S6" i="104"/>
  <c r="S5" i="104"/>
  <c r="S4" i="104"/>
  <c r="F31" i="104"/>
  <c r="F36" i="103" l="1"/>
  <c r="G33" i="103"/>
  <c r="W31" i="103"/>
  <c r="W30" i="103"/>
  <c r="W27" i="103"/>
  <c r="C27" i="103"/>
  <c r="E26" i="103"/>
  <c r="E27" i="103" s="1"/>
  <c r="F27" i="103" s="1"/>
  <c r="F25" i="103"/>
  <c r="W24" i="103"/>
  <c r="F23" i="103"/>
  <c r="W22" i="103"/>
  <c r="F20" i="103"/>
  <c r="F19" i="103"/>
  <c r="F16" i="103"/>
  <c r="F15" i="103"/>
  <c r="W12" i="103"/>
  <c r="V12" i="103"/>
  <c r="M12" i="103"/>
  <c r="N12" i="103" s="1"/>
  <c r="I12" i="103"/>
  <c r="F12" i="103"/>
  <c r="W11" i="103"/>
  <c r="V11" i="103"/>
  <c r="M11" i="103"/>
  <c r="N11" i="103" s="1"/>
  <c r="I11" i="103"/>
  <c r="F11" i="103"/>
  <c r="W10" i="103"/>
  <c r="V10" i="103"/>
  <c r="M10" i="103"/>
  <c r="N10" i="103" s="1"/>
  <c r="I10" i="103"/>
  <c r="W9" i="103"/>
  <c r="V9" i="103"/>
  <c r="M9" i="103"/>
  <c r="N9" i="103" s="1"/>
  <c r="I9" i="103"/>
  <c r="W8" i="103"/>
  <c r="V8" i="103"/>
  <c r="M8" i="103"/>
  <c r="N8" i="103" s="1"/>
  <c r="I8" i="103"/>
  <c r="W7" i="103"/>
  <c r="V7" i="103"/>
  <c r="M7" i="103"/>
  <c r="N7" i="103" s="1"/>
  <c r="I7" i="103"/>
  <c r="W6" i="103"/>
  <c r="V6" i="103"/>
  <c r="M6" i="103"/>
  <c r="N6" i="103" s="1"/>
  <c r="I6" i="103"/>
  <c r="AE5" i="103"/>
  <c r="W5" i="103"/>
  <c r="V5" i="103"/>
  <c r="M5" i="103"/>
  <c r="N5" i="103" s="1"/>
  <c r="I5" i="103"/>
  <c r="W4" i="103"/>
  <c r="V4" i="103"/>
  <c r="M4" i="103"/>
  <c r="N4" i="103" s="1"/>
  <c r="I4" i="103"/>
  <c r="F13" i="103" l="1"/>
  <c r="F26" i="103" s="1"/>
  <c r="F17" i="103"/>
  <c r="F21" i="103"/>
  <c r="F24" i="103"/>
  <c r="F14" i="103"/>
  <c r="F18" i="103"/>
  <c r="F22" i="103"/>
  <c r="F43" i="156"/>
  <c r="J43" i="156" s="1"/>
  <c r="V36" i="103"/>
  <c r="W33" i="103"/>
  <c r="U4" i="103"/>
  <c r="X4" i="103" s="1"/>
  <c r="Y4" i="103" s="1"/>
  <c r="Z4" i="103" s="1"/>
  <c r="Q4" i="103" s="1"/>
  <c r="P4" i="103"/>
  <c r="R4" i="103" s="1"/>
  <c r="U5" i="103"/>
  <c r="X5" i="103" s="1"/>
  <c r="Y5" i="103" s="1"/>
  <c r="Z5" i="103" s="1"/>
  <c r="Q5" i="103" s="1"/>
  <c r="P5" i="103"/>
  <c r="R5" i="103" s="1"/>
  <c r="U6" i="103"/>
  <c r="X6" i="103" s="1"/>
  <c r="Y6" i="103" s="1"/>
  <c r="Z6" i="103" s="1"/>
  <c r="Q6" i="103" s="1"/>
  <c r="P6" i="103"/>
  <c r="R6" i="103" s="1"/>
  <c r="U7" i="103"/>
  <c r="X7" i="103" s="1"/>
  <c r="Y7" i="103" s="1"/>
  <c r="Z7" i="103" s="1"/>
  <c r="Q7" i="103" s="1"/>
  <c r="P7" i="103"/>
  <c r="R7" i="103" s="1"/>
  <c r="U8" i="103"/>
  <c r="X8" i="103" s="1"/>
  <c r="Y8" i="103" s="1"/>
  <c r="Z8" i="103" s="1"/>
  <c r="Q8" i="103" s="1"/>
  <c r="P8" i="103"/>
  <c r="R8" i="103" s="1"/>
  <c r="U9" i="103"/>
  <c r="X9" i="103" s="1"/>
  <c r="Y9" i="103" s="1"/>
  <c r="Z9" i="103" s="1"/>
  <c r="Q9" i="103" s="1"/>
  <c r="P9" i="103"/>
  <c r="R9" i="103" s="1"/>
  <c r="U10" i="103"/>
  <c r="X10" i="103" s="1"/>
  <c r="Y10" i="103" s="1"/>
  <c r="Z10" i="103" s="1"/>
  <c r="Q10" i="103" s="1"/>
  <c r="P10" i="103"/>
  <c r="R10" i="103" s="1"/>
  <c r="U11" i="103"/>
  <c r="X11" i="103" s="1"/>
  <c r="Y11" i="103" s="1"/>
  <c r="Z11" i="103" s="1"/>
  <c r="Q11" i="103" s="1"/>
  <c r="P11" i="103"/>
  <c r="R11" i="103" s="1"/>
  <c r="U12" i="103"/>
  <c r="X12" i="103" s="1"/>
  <c r="Y12" i="103" s="1"/>
  <c r="Z12" i="103" s="1"/>
  <c r="Q12" i="103" s="1"/>
  <c r="P12" i="103"/>
  <c r="R12" i="103" s="1"/>
  <c r="G12" i="103"/>
  <c r="G13" i="103" s="1"/>
  <c r="G14" i="103" s="1"/>
  <c r="G15" i="103" s="1"/>
  <c r="G16" i="103" s="1"/>
  <c r="G17" i="103" s="1"/>
  <c r="G18" i="103" s="1"/>
  <c r="G19" i="103" s="1"/>
  <c r="G20" i="103" s="1"/>
  <c r="X27" i="103"/>
  <c r="W32" i="103"/>
  <c r="G21" i="103" l="1"/>
  <c r="G22" i="103" s="1"/>
  <c r="G23" i="103" s="1"/>
  <c r="G24" i="103" s="1"/>
  <c r="G25" i="103" s="1"/>
  <c r="S11" i="103"/>
  <c r="S10" i="103"/>
  <c r="S8" i="103"/>
  <c r="S7" i="103"/>
  <c r="S6" i="103"/>
  <c r="S4" i="103"/>
  <c r="F31" i="103"/>
  <c r="S12" i="103" l="1"/>
  <c r="S5" i="103"/>
  <c r="S9" i="103"/>
  <c r="F36" i="102"/>
  <c r="G33" i="102"/>
  <c r="W31" i="102"/>
  <c r="W30" i="102"/>
  <c r="W27" i="102"/>
  <c r="C27" i="102"/>
  <c r="E26" i="102"/>
  <c r="E27" i="102" s="1"/>
  <c r="F27" i="102" s="1"/>
  <c r="F25" i="102"/>
  <c r="W24" i="102"/>
  <c r="F23" i="102"/>
  <c r="W22" i="102"/>
  <c r="F22" i="102"/>
  <c r="F20" i="102"/>
  <c r="F19" i="102"/>
  <c r="F18" i="102"/>
  <c r="F16" i="102"/>
  <c r="F15" i="102"/>
  <c r="F14" i="102"/>
  <c r="W12" i="102"/>
  <c r="V12" i="102"/>
  <c r="M12" i="102"/>
  <c r="N12" i="102" s="1"/>
  <c r="I12" i="102"/>
  <c r="F12" i="102"/>
  <c r="W11" i="102"/>
  <c r="V11" i="102"/>
  <c r="M11" i="102"/>
  <c r="N11" i="102" s="1"/>
  <c r="I11" i="102"/>
  <c r="F11" i="102"/>
  <c r="W10" i="102"/>
  <c r="V10" i="102"/>
  <c r="M10" i="102"/>
  <c r="N10" i="102" s="1"/>
  <c r="I10" i="102"/>
  <c r="W9" i="102"/>
  <c r="V9" i="102"/>
  <c r="M9" i="102"/>
  <c r="N9" i="102" s="1"/>
  <c r="I9" i="102"/>
  <c r="W8" i="102"/>
  <c r="V8" i="102"/>
  <c r="M8" i="102"/>
  <c r="N8" i="102" s="1"/>
  <c r="I8" i="102"/>
  <c r="W7" i="102"/>
  <c r="V7" i="102"/>
  <c r="M7" i="102"/>
  <c r="N7" i="102" s="1"/>
  <c r="I7" i="102"/>
  <c r="W6" i="102"/>
  <c r="V6" i="102"/>
  <c r="M6" i="102"/>
  <c r="N6" i="102" s="1"/>
  <c r="I6" i="102"/>
  <c r="AE5" i="102"/>
  <c r="W5" i="102"/>
  <c r="V5" i="102"/>
  <c r="M5" i="102"/>
  <c r="N5" i="102" s="1"/>
  <c r="I5" i="102"/>
  <c r="W4" i="102"/>
  <c r="V4" i="102"/>
  <c r="M4" i="102"/>
  <c r="N4" i="102" s="1"/>
  <c r="I4" i="102"/>
  <c r="F42" i="156" l="1"/>
  <c r="J42" i="156" s="1"/>
  <c r="V36" i="102"/>
  <c r="F13" i="102"/>
  <c r="F26" i="102" s="1"/>
  <c r="F17" i="102"/>
  <c r="F21" i="102"/>
  <c r="F24" i="102"/>
  <c r="W33" i="102"/>
  <c r="U4" i="102"/>
  <c r="X4" i="102" s="1"/>
  <c r="Y4" i="102" s="1"/>
  <c r="Z4" i="102" s="1"/>
  <c r="Q4" i="102" s="1"/>
  <c r="P4" i="102"/>
  <c r="R4" i="102" s="1"/>
  <c r="U5" i="102"/>
  <c r="X5" i="102" s="1"/>
  <c r="Y5" i="102" s="1"/>
  <c r="Z5" i="102" s="1"/>
  <c r="Q5" i="102" s="1"/>
  <c r="P5" i="102"/>
  <c r="R5" i="102" s="1"/>
  <c r="U6" i="102"/>
  <c r="X6" i="102" s="1"/>
  <c r="Y6" i="102" s="1"/>
  <c r="Z6" i="102" s="1"/>
  <c r="Q6" i="102" s="1"/>
  <c r="P6" i="102"/>
  <c r="R6" i="102" s="1"/>
  <c r="U7" i="102"/>
  <c r="X7" i="102" s="1"/>
  <c r="Y7" i="102" s="1"/>
  <c r="Z7" i="102" s="1"/>
  <c r="Q7" i="102" s="1"/>
  <c r="P7" i="102"/>
  <c r="R7" i="102" s="1"/>
  <c r="U8" i="102"/>
  <c r="X8" i="102" s="1"/>
  <c r="Y8" i="102" s="1"/>
  <c r="Z8" i="102" s="1"/>
  <c r="Q8" i="102" s="1"/>
  <c r="P8" i="102"/>
  <c r="R8" i="102" s="1"/>
  <c r="U9" i="102"/>
  <c r="X9" i="102" s="1"/>
  <c r="Y9" i="102" s="1"/>
  <c r="Z9" i="102" s="1"/>
  <c r="Q9" i="102" s="1"/>
  <c r="P9" i="102"/>
  <c r="R9" i="102" s="1"/>
  <c r="U10" i="102"/>
  <c r="X10" i="102" s="1"/>
  <c r="Y10" i="102" s="1"/>
  <c r="Z10" i="102" s="1"/>
  <c r="Q10" i="102" s="1"/>
  <c r="P10" i="102"/>
  <c r="R10" i="102" s="1"/>
  <c r="U11" i="102"/>
  <c r="X11" i="102" s="1"/>
  <c r="Y11" i="102" s="1"/>
  <c r="Z11" i="102" s="1"/>
  <c r="Q11" i="102" s="1"/>
  <c r="P11" i="102"/>
  <c r="R11" i="102" s="1"/>
  <c r="U12" i="102"/>
  <c r="X12" i="102" s="1"/>
  <c r="Y12" i="102" s="1"/>
  <c r="Z12" i="102" s="1"/>
  <c r="Q12" i="102" s="1"/>
  <c r="P12" i="102"/>
  <c r="R12" i="102" s="1"/>
  <c r="G12" i="102"/>
  <c r="G13" i="102" s="1"/>
  <c r="G14" i="102" s="1"/>
  <c r="G15" i="102" s="1"/>
  <c r="G16" i="102" s="1"/>
  <c r="G17" i="102" s="1"/>
  <c r="G18" i="102" s="1"/>
  <c r="G19" i="102" s="1"/>
  <c r="G20" i="102" s="1"/>
  <c r="G21" i="102" s="1"/>
  <c r="G22" i="102" s="1"/>
  <c r="G23" i="102" s="1"/>
  <c r="X27" i="102"/>
  <c r="W32" i="102"/>
  <c r="G24" i="102" l="1"/>
  <c r="G25" i="102" s="1"/>
  <c r="S12" i="102"/>
  <c r="S11" i="102"/>
  <c r="S10" i="102"/>
  <c r="S8" i="102"/>
  <c r="S7" i="102"/>
  <c r="S6" i="102"/>
  <c r="S4" i="102"/>
  <c r="F31" i="102"/>
  <c r="S5" i="102" l="1"/>
  <c r="S9" i="102"/>
  <c r="F36" i="101"/>
  <c r="G33" i="101"/>
  <c r="W31" i="101"/>
  <c r="W30" i="101"/>
  <c r="W27" i="101"/>
  <c r="C27" i="101"/>
  <c r="E26" i="101"/>
  <c r="E27" i="101" s="1"/>
  <c r="F27" i="101" s="1"/>
  <c r="W24" i="101"/>
  <c r="F24" i="101"/>
  <c r="F23" i="101"/>
  <c r="W22" i="101"/>
  <c r="F22" i="101"/>
  <c r="F21" i="101"/>
  <c r="F20" i="101"/>
  <c r="F19" i="101"/>
  <c r="F18" i="101"/>
  <c r="F17" i="101"/>
  <c r="F16" i="101"/>
  <c r="F15" i="101"/>
  <c r="F14" i="101"/>
  <c r="F13" i="101"/>
  <c r="W12" i="101"/>
  <c r="V12" i="101"/>
  <c r="M12" i="101"/>
  <c r="I12" i="101"/>
  <c r="F12" i="101"/>
  <c r="W11" i="101"/>
  <c r="V11" i="101"/>
  <c r="M11" i="101"/>
  <c r="N11" i="101" s="1"/>
  <c r="I11" i="101"/>
  <c r="F11" i="101"/>
  <c r="W10" i="101"/>
  <c r="V10" i="101"/>
  <c r="M10" i="101"/>
  <c r="I10" i="101"/>
  <c r="W9" i="101"/>
  <c r="V9" i="101"/>
  <c r="M9" i="101"/>
  <c r="I9" i="101"/>
  <c r="W8" i="101"/>
  <c r="V8" i="101"/>
  <c r="M8" i="101"/>
  <c r="I8" i="101"/>
  <c r="W7" i="101"/>
  <c r="V7" i="101"/>
  <c r="M7" i="101"/>
  <c r="I7" i="101"/>
  <c r="W6" i="101"/>
  <c r="V6" i="101"/>
  <c r="M6" i="101"/>
  <c r="I6" i="101"/>
  <c r="AE5" i="101"/>
  <c r="W5" i="101"/>
  <c r="V5" i="101"/>
  <c r="M5" i="101"/>
  <c r="I5" i="101"/>
  <c r="W4" i="101"/>
  <c r="V4" i="101"/>
  <c r="M4" i="101"/>
  <c r="I4" i="101"/>
  <c r="N4" i="101" l="1"/>
  <c r="N5" i="101"/>
  <c r="F25" i="101"/>
  <c r="N12" i="101"/>
  <c r="F41" i="156"/>
  <c r="J41" i="156" s="1"/>
  <c r="V36" i="101"/>
  <c r="N6" i="101"/>
  <c r="N7" i="101"/>
  <c r="U7" i="101" s="1"/>
  <c r="X7" i="101" s="1"/>
  <c r="Y7" i="101" s="1"/>
  <c r="Z7" i="101" s="1"/>
  <c r="Q7" i="101" s="1"/>
  <c r="N8" i="101"/>
  <c r="N9" i="101"/>
  <c r="N10" i="101"/>
  <c r="F26" i="101"/>
  <c r="W33" i="101"/>
  <c r="U4" i="101"/>
  <c r="X4" i="101" s="1"/>
  <c r="Y4" i="101" s="1"/>
  <c r="Z4" i="101" s="1"/>
  <c r="Q4" i="101" s="1"/>
  <c r="P4" i="101"/>
  <c r="R4" i="101" s="1"/>
  <c r="U5" i="101"/>
  <c r="X5" i="101" s="1"/>
  <c r="Y5" i="101" s="1"/>
  <c r="Z5" i="101" s="1"/>
  <c r="Q5" i="101" s="1"/>
  <c r="P5" i="101"/>
  <c r="R5" i="101" s="1"/>
  <c r="U6" i="101"/>
  <c r="X6" i="101" s="1"/>
  <c r="Y6" i="101" s="1"/>
  <c r="Z6" i="101" s="1"/>
  <c r="Q6" i="101" s="1"/>
  <c r="P6" i="101"/>
  <c r="R6" i="101" s="1"/>
  <c r="U8" i="101"/>
  <c r="X8" i="101" s="1"/>
  <c r="Y8" i="101" s="1"/>
  <c r="Z8" i="101" s="1"/>
  <c r="Q8" i="101" s="1"/>
  <c r="P8" i="101"/>
  <c r="R8" i="101" s="1"/>
  <c r="U9" i="101"/>
  <c r="X9" i="101" s="1"/>
  <c r="Y9" i="101" s="1"/>
  <c r="Z9" i="101" s="1"/>
  <c r="Q9" i="101" s="1"/>
  <c r="P9" i="101"/>
  <c r="R9" i="101" s="1"/>
  <c r="U10" i="101"/>
  <c r="X10" i="101" s="1"/>
  <c r="Y10" i="101" s="1"/>
  <c r="Z10" i="101" s="1"/>
  <c r="Q10" i="101" s="1"/>
  <c r="P10" i="101"/>
  <c r="R10" i="101" s="1"/>
  <c r="U11" i="101"/>
  <c r="X11" i="101" s="1"/>
  <c r="Y11" i="101" s="1"/>
  <c r="Z11" i="101" s="1"/>
  <c r="Q11" i="101" s="1"/>
  <c r="P11" i="101"/>
  <c r="R11" i="101" s="1"/>
  <c r="U12" i="101"/>
  <c r="X12" i="101" s="1"/>
  <c r="Y12" i="101" s="1"/>
  <c r="Z12" i="101" s="1"/>
  <c r="Q12" i="101" s="1"/>
  <c r="P12" i="101"/>
  <c r="R12" i="101" s="1"/>
  <c r="G12" i="101"/>
  <c r="G13" i="101" s="1"/>
  <c r="G14" i="101" s="1"/>
  <c r="G15" i="101" s="1"/>
  <c r="G16" i="101" s="1"/>
  <c r="G17" i="101" s="1"/>
  <c r="G18" i="101" s="1"/>
  <c r="G19" i="101" s="1"/>
  <c r="G20" i="101" s="1"/>
  <c r="G21" i="101" s="1"/>
  <c r="G22" i="101" s="1"/>
  <c r="G23" i="101" s="1"/>
  <c r="G24" i="101" s="1"/>
  <c r="X27" i="101"/>
  <c r="W32" i="101"/>
  <c r="P7" i="101" l="1"/>
  <c r="R7" i="101" s="1"/>
  <c r="G25" i="101"/>
  <c r="S12" i="101"/>
  <c r="S11" i="101"/>
  <c r="S10" i="101"/>
  <c r="S9" i="101"/>
  <c r="S8" i="101"/>
  <c r="S7" i="101"/>
  <c r="S6" i="101"/>
  <c r="S5" i="101"/>
  <c r="S4" i="101"/>
  <c r="F31" i="101"/>
  <c r="F36" i="100" l="1"/>
  <c r="G33" i="100"/>
  <c r="W31" i="100"/>
  <c r="W30" i="100"/>
  <c r="W27" i="100"/>
  <c r="C27" i="100"/>
  <c r="E26" i="100"/>
  <c r="E27" i="100" s="1"/>
  <c r="F27" i="100" s="1"/>
  <c r="F25" i="100"/>
  <c r="W24" i="100"/>
  <c r="F40" i="156" s="1"/>
  <c r="J40" i="156" s="1"/>
  <c r="F23" i="100"/>
  <c r="W22" i="100"/>
  <c r="F22" i="100"/>
  <c r="F20" i="100"/>
  <c r="F19" i="100"/>
  <c r="F18" i="100"/>
  <c r="F16" i="100"/>
  <c r="F15" i="100"/>
  <c r="F14" i="100"/>
  <c r="W12" i="100"/>
  <c r="V12" i="100"/>
  <c r="M12" i="100"/>
  <c r="N12" i="100" s="1"/>
  <c r="I12" i="100"/>
  <c r="F12" i="100"/>
  <c r="W11" i="100"/>
  <c r="V11" i="100"/>
  <c r="M11" i="100"/>
  <c r="N11" i="100" s="1"/>
  <c r="I11" i="100"/>
  <c r="F11" i="100"/>
  <c r="W10" i="100"/>
  <c r="V10" i="100"/>
  <c r="M10" i="100"/>
  <c r="N10" i="100" s="1"/>
  <c r="I10" i="100"/>
  <c r="W9" i="100"/>
  <c r="V9" i="100"/>
  <c r="M9" i="100"/>
  <c r="N9" i="100" s="1"/>
  <c r="I9" i="100"/>
  <c r="W8" i="100"/>
  <c r="V8" i="100"/>
  <c r="M8" i="100"/>
  <c r="N8" i="100" s="1"/>
  <c r="I8" i="100"/>
  <c r="W7" i="100"/>
  <c r="V7" i="100"/>
  <c r="M7" i="100"/>
  <c r="N7" i="100" s="1"/>
  <c r="I7" i="100"/>
  <c r="W6" i="100"/>
  <c r="V6" i="100"/>
  <c r="M6" i="100"/>
  <c r="N6" i="100" s="1"/>
  <c r="I6" i="100"/>
  <c r="AE5" i="100"/>
  <c r="W5" i="100"/>
  <c r="V5" i="100"/>
  <c r="M5" i="100"/>
  <c r="N5" i="100" s="1"/>
  <c r="I5" i="100"/>
  <c r="W4" i="100"/>
  <c r="V4" i="100"/>
  <c r="M4" i="100"/>
  <c r="N4" i="100" s="1"/>
  <c r="I4" i="100"/>
  <c r="F13" i="100" l="1"/>
  <c r="F26" i="100" s="1"/>
  <c r="F17" i="100"/>
  <c r="F21" i="100"/>
  <c r="F24" i="100"/>
  <c r="V36" i="100"/>
  <c r="W33" i="100"/>
  <c r="U4" i="100"/>
  <c r="X4" i="100" s="1"/>
  <c r="Y4" i="100" s="1"/>
  <c r="Z4" i="100" s="1"/>
  <c r="Q4" i="100" s="1"/>
  <c r="P4" i="100"/>
  <c r="R4" i="100" s="1"/>
  <c r="U5" i="100"/>
  <c r="X5" i="100" s="1"/>
  <c r="Y5" i="100" s="1"/>
  <c r="Z5" i="100" s="1"/>
  <c r="Q5" i="100" s="1"/>
  <c r="P5" i="100"/>
  <c r="R5" i="100" s="1"/>
  <c r="U6" i="100"/>
  <c r="X6" i="100" s="1"/>
  <c r="Y6" i="100" s="1"/>
  <c r="Z6" i="100" s="1"/>
  <c r="Q6" i="100" s="1"/>
  <c r="P6" i="100"/>
  <c r="R6" i="100" s="1"/>
  <c r="U7" i="100"/>
  <c r="X7" i="100" s="1"/>
  <c r="Y7" i="100" s="1"/>
  <c r="Z7" i="100" s="1"/>
  <c r="Q7" i="100" s="1"/>
  <c r="P7" i="100"/>
  <c r="R7" i="100" s="1"/>
  <c r="U8" i="100"/>
  <c r="X8" i="100" s="1"/>
  <c r="Y8" i="100" s="1"/>
  <c r="Z8" i="100" s="1"/>
  <c r="Q8" i="100" s="1"/>
  <c r="P8" i="100"/>
  <c r="R8" i="100" s="1"/>
  <c r="U9" i="100"/>
  <c r="X9" i="100" s="1"/>
  <c r="Y9" i="100" s="1"/>
  <c r="Z9" i="100" s="1"/>
  <c r="Q9" i="100" s="1"/>
  <c r="P9" i="100"/>
  <c r="R9" i="100" s="1"/>
  <c r="U10" i="100"/>
  <c r="X10" i="100" s="1"/>
  <c r="Y10" i="100" s="1"/>
  <c r="Z10" i="100" s="1"/>
  <c r="Q10" i="100" s="1"/>
  <c r="P10" i="100"/>
  <c r="R10" i="100" s="1"/>
  <c r="U11" i="100"/>
  <c r="X11" i="100" s="1"/>
  <c r="Y11" i="100" s="1"/>
  <c r="Z11" i="100" s="1"/>
  <c r="Q11" i="100" s="1"/>
  <c r="P11" i="100"/>
  <c r="R11" i="100" s="1"/>
  <c r="U12" i="100"/>
  <c r="X12" i="100" s="1"/>
  <c r="Y12" i="100" s="1"/>
  <c r="Z12" i="100" s="1"/>
  <c r="Q12" i="100" s="1"/>
  <c r="P12" i="100"/>
  <c r="R12" i="100" s="1"/>
  <c r="G12" i="100"/>
  <c r="G13" i="100" s="1"/>
  <c r="G14" i="100" s="1"/>
  <c r="G15" i="100" s="1"/>
  <c r="G16" i="100" s="1"/>
  <c r="G17" i="100" s="1"/>
  <c r="G18" i="100" s="1"/>
  <c r="G19" i="100" s="1"/>
  <c r="G20" i="100" s="1"/>
  <c r="G21" i="100" s="1"/>
  <c r="G22" i="100" s="1"/>
  <c r="G23" i="100" s="1"/>
  <c r="G24" i="100" s="1"/>
  <c r="X27" i="100"/>
  <c r="W32" i="100"/>
  <c r="G25" i="100" l="1"/>
  <c r="S12" i="100"/>
  <c r="S11" i="100"/>
  <c r="S10" i="100"/>
  <c r="S9" i="100"/>
  <c r="S8" i="100"/>
  <c r="S7" i="100"/>
  <c r="S6" i="100"/>
  <c r="S5" i="100"/>
  <c r="S4" i="100"/>
  <c r="F31" i="100"/>
  <c r="F36" i="99" l="1"/>
  <c r="G33" i="99"/>
  <c r="W31" i="99"/>
  <c r="W30" i="99"/>
  <c r="W27" i="99"/>
  <c r="C27" i="99"/>
  <c r="E26" i="99"/>
  <c r="E27" i="99" s="1"/>
  <c r="F27" i="99" s="1"/>
  <c r="F25" i="99"/>
  <c r="W24" i="99"/>
  <c r="F23" i="99"/>
  <c r="W22" i="99"/>
  <c r="F20" i="99"/>
  <c r="F19" i="99"/>
  <c r="F16" i="99"/>
  <c r="F15" i="99"/>
  <c r="W12" i="99"/>
  <c r="V12" i="99"/>
  <c r="M12" i="99"/>
  <c r="N12" i="99" s="1"/>
  <c r="I12" i="99"/>
  <c r="F12" i="99"/>
  <c r="W11" i="99"/>
  <c r="V11" i="99"/>
  <c r="M11" i="99"/>
  <c r="N11" i="99" s="1"/>
  <c r="I11" i="99"/>
  <c r="F11" i="99"/>
  <c r="W10" i="99"/>
  <c r="V10" i="99"/>
  <c r="M10" i="99"/>
  <c r="N10" i="99" s="1"/>
  <c r="I10" i="99"/>
  <c r="W9" i="99"/>
  <c r="V9" i="99"/>
  <c r="M9" i="99"/>
  <c r="N9" i="99" s="1"/>
  <c r="I9" i="99"/>
  <c r="W8" i="99"/>
  <c r="V8" i="99"/>
  <c r="M8" i="99"/>
  <c r="N8" i="99" s="1"/>
  <c r="I8" i="99"/>
  <c r="W7" i="99"/>
  <c r="V7" i="99"/>
  <c r="M7" i="99"/>
  <c r="N7" i="99" s="1"/>
  <c r="I7" i="99"/>
  <c r="W6" i="99"/>
  <c r="V6" i="99"/>
  <c r="M6" i="99"/>
  <c r="N6" i="99" s="1"/>
  <c r="I6" i="99"/>
  <c r="AE5" i="99"/>
  <c r="W5" i="99"/>
  <c r="V5" i="99"/>
  <c r="M5" i="99"/>
  <c r="N5" i="99" s="1"/>
  <c r="I5" i="99"/>
  <c r="W4" i="99"/>
  <c r="V4" i="99"/>
  <c r="M4" i="99"/>
  <c r="N4" i="99" s="1"/>
  <c r="I4" i="99"/>
  <c r="F13" i="99" l="1"/>
  <c r="F26" i="99" s="1"/>
  <c r="F17" i="99"/>
  <c r="F21" i="99"/>
  <c r="F24" i="99"/>
  <c r="F14" i="99"/>
  <c r="F18" i="99"/>
  <c r="F22" i="99"/>
  <c r="F38" i="156"/>
  <c r="J38" i="156" s="1"/>
  <c r="V36" i="99"/>
  <c r="W33" i="99"/>
  <c r="U4" i="99"/>
  <c r="X4" i="99" s="1"/>
  <c r="Y4" i="99" s="1"/>
  <c r="Z4" i="99" s="1"/>
  <c r="Q4" i="99" s="1"/>
  <c r="P4" i="99"/>
  <c r="R4" i="99" s="1"/>
  <c r="U5" i="99"/>
  <c r="X5" i="99" s="1"/>
  <c r="Y5" i="99" s="1"/>
  <c r="Z5" i="99" s="1"/>
  <c r="Q5" i="99" s="1"/>
  <c r="P5" i="99"/>
  <c r="R5" i="99" s="1"/>
  <c r="U6" i="99"/>
  <c r="X6" i="99" s="1"/>
  <c r="Y6" i="99" s="1"/>
  <c r="Z6" i="99" s="1"/>
  <c r="Q6" i="99" s="1"/>
  <c r="P6" i="99"/>
  <c r="R6" i="99" s="1"/>
  <c r="U7" i="99"/>
  <c r="X7" i="99" s="1"/>
  <c r="Y7" i="99" s="1"/>
  <c r="Z7" i="99" s="1"/>
  <c r="Q7" i="99" s="1"/>
  <c r="P7" i="99"/>
  <c r="R7" i="99" s="1"/>
  <c r="U8" i="99"/>
  <c r="X8" i="99" s="1"/>
  <c r="Y8" i="99" s="1"/>
  <c r="Z8" i="99" s="1"/>
  <c r="Q8" i="99" s="1"/>
  <c r="P8" i="99"/>
  <c r="R8" i="99" s="1"/>
  <c r="U9" i="99"/>
  <c r="X9" i="99" s="1"/>
  <c r="Y9" i="99" s="1"/>
  <c r="Z9" i="99" s="1"/>
  <c r="Q9" i="99" s="1"/>
  <c r="P9" i="99"/>
  <c r="R9" i="99" s="1"/>
  <c r="U10" i="99"/>
  <c r="X10" i="99" s="1"/>
  <c r="Y10" i="99" s="1"/>
  <c r="Z10" i="99" s="1"/>
  <c r="Q10" i="99" s="1"/>
  <c r="P10" i="99"/>
  <c r="R10" i="99" s="1"/>
  <c r="U11" i="99"/>
  <c r="X11" i="99" s="1"/>
  <c r="Y11" i="99" s="1"/>
  <c r="Z11" i="99" s="1"/>
  <c r="Q11" i="99" s="1"/>
  <c r="P11" i="99"/>
  <c r="R11" i="99" s="1"/>
  <c r="U12" i="99"/>
  <c r="X12" i="99" s="1"/>
  <c r="Y12" i="99" s="1"/>
  <c r="Z12" i="99" s="1"/>
  <c r="Q12" i="99" s="1"/>
  <c r="P12" i="99"/>
  <c r="R12" i="99" s="1"/>
  <c r="G12" i="99"/>
  <c r="G13" i="99" s="1"/>
  <c r="G14" i="99" s="1"/>
  <c r="G15" i="99" s="1"/>
  <c r="G16" i="99" s="1"/>
  <c r="G17" i="99" s="1"/>
  <c r="G18" i="99" s="1"/>
  <c r="G19" i="99" s="1"/>
  <c r="G20" i="99" s="1"/>
  <c r="G21" i="99" s="1"/>
  <c r="G22" i="99" s="1"/>
  <c r="G23" i="99" s="1"/>
  <c r="G24" i="99" s="1"/>
  <c r="X27" i="99"/>
  <c r="W32" i="99"/>
  <c r="G25" i="99" l="1"/>
  <c r="S12" i="99"/>
  <c r="S11" i="99"/>
  <c r="S10" i="99"/>
  <c r="S9" i="99"/>
  <c r="S8" i="99"/>
  <c r="S7" i="99"/>
  <c r="S6" i="99"/>
  <c r="S5" i="99"/>
  <c r="S4" i="99"/>
  <c r="F31" i="99"/>
  <c r="F36" i="98" l="1"/>
  <c r="G33" i="98"/>
  <c r="W31" i="98"/>
  <c r="W30" i="98"/>
  <c r="W27" i="98"/>
  <c r="C27" i="98"/>
  <c r="E26" i="98"/>
  <c r="E27" i="98" s="1"/>
  <c r="F27" i="98" s="1"/>
  <c r="F25" i="98"/>
  <c r="W24" i="98"/>
  <c r="F23" i="98"/>
  <c r="W22" i="98"/>
  <c r="F20" i="98"/>
  <c r="F19" i="98"/>
  <c r="F17" i="98"/>
  <c r="F16" i="98"/>
  <c r="F15" i="98"/>
  <c r="F14" i="98"/>
  <c r="F13" i="98"/>
  <c r="W12" i="98"/>
  <c r="V12" i="98"/>
  <c r="M12" i="98"/>
  <c r="N12" i="98" s="1"/>
  <c r="I12" i="98"/>
  <c r="F12" i="98"/>
  <c r="W11" i="98"/>
  <c r="V11" i="98"/>
  <c r="M11" i="98"/>
  <c r="N11" i="98" s="1"/>
  <c r="I11" i="98"/>
  <c r="F11" i="98"/>
  <c r="W10" i="98"/>
  <c r="V10" i="98"/>
  <c r="M10" i="98"/>
  <c r="N10" i="98" s="1"/>
  <c r="I10" i="98"/>
  <c r="W9" i="98"/>
  <c r="V9" i="98"/>
  <c r="M9" i="98"/>
  <c r="N9" i="98" s="1"/>
  <c r="I9" i="98"/>
  <c r="W8" i="98"/>
  <c r="V8" i="98"/>
  <c r="M8" i="98"/>
  <c r="N8" i="98" s="1"/>
  <c r="I8" i="98"/>
  <c r="W7" i="98"/>
  <c r="V7" i="98"/>
  <c r="M7" i="98"/>
  <c r="N7" i="98" s="1"/>
  <c r="I7" i="98"/>
  <c r="W6" i="98"/>
  <c r="V6" i="98"/>
  <c r="M6" i="98"/>
  <c r="N6" i="98" s="1"/>
  <c r="I6" i="98"/>
  <c r="AE5" i="98"/>
  <c r="W5" i="98"/>
  <c r="V5" i="98"/>
  <c r="M5" i="98"/>
  <c r="N5" i="98" s="1"/>
  <c r="I5" i="98"/>
  <c r="W4" i="98"/>
  <c r="V4" i="98"/>
  <c r="M4" i="98"/>
  <c r="N4" i="98" s="1"/>
  <c r="I4" i="98"/>
  <c r="W33" i="98" l="1"/>
  <c r="F21" i="98"/>
  <c r="F24" i="98"/>
  <c r="F18" i="98"/>
  <c r="F26" i="98" s="1"/>
  <c r="F22" i="98"/>
  <c r="F37" i="156"/>
  <c r="J37" i="156" s="1"/>
  <c r="V36" i="98"/>
  <c r="U4" i="98"/>
  <c r="X4" i="98" s="1"/>
  <c r="Y4" i="98" s="1"/>
  <c r="Z4" i="98" s="1"/>
  <c r="Q4" i="98" s="1"/>
  <c r="P4" i="98"/>
  <c r="R4" i="98" s="1"/>
  <c r="U5" i="98"/>
  <c r="X5" i="98" s="1"/>
  <c r="Y5" i="98" s="1"/>
  <c r="Z5" i="98" s="1"/>
  <c r="Q5" i="98" s="1"/>
  <c r="P5" i="98"/>
  <c r="R5" i="98" s="1"/>
  <c r="U6" i="98"/>
  <c r="X6" i="98" s="1"/>
  <c r="Y6" i="98" s="1"/>
  <c r="Z6" i="98" s="1"/>
  <c r="Q6" i="98" s="1"/>
  <c r="P6" i="98"/>
  <c r="R6" i="98" s="1"/>
  <c r="U7" i="98"/>
  <c r="X7" i="98" s="1"/>
  <c r="Y7" i="98" s="1"/>
  <c r="Z7" i="98" s="1"/>
  <c r="Q7" i="98" s="1"/>
  <c r="P7" i="98"/>
  <c r="R7" i="98" s="1"/>
  <c r="U8" i="98"/>
  <c r="X8" i="98" s="1"/>
  <c r="Y8" i="98" s="1"/>
  <c r="Z8" i="98" s="1"/>
  <c r="Q8" i="98" s="1"/>
  <c r="P8" i="98"/>
  <c r="R8" i="98" s="1"/>
  <c r="U9" i="98"/>
  <c r="X9" i="98" s="1"/>
  <c r="Y9" i="98" s="1"/>
  <c r="Z9" i="98" s="1"/>
  <c r="Q9" i="98" s="1"/>
  <c r="P9" i="98"/>
  <c r="R9" i="98" s="1"/>
  <c r="U10" i="98"/>
  <c r="X10" i="98" s="1"/>
  <c r="Y10" i="98" s="1"/>
  <c r="Z10" i="98" s="1"/>
  <c r="Q10" i="98" s="1"/>
  <c r="P10" i="98"/>
  <c r="R10" i="98" s="1"/>
  <c r="U11" i="98"/>
  <c r="X11" i="98" s="1"/>
  <c r="Y11" i="98" s="1"/>
  <c r="Z11" i="98" s="1"/>
  <c r="Q11" i="98" s="1"/>
  <c r="P11" i="98"/>
  <c r="R11" i="98" s="1"/>
  <c r="U12" i="98"/>
  <c r="X12" i="98" s="1"/>
  <c r="Y12" i="98" s="1"/>
  <c r="Z12" i="98" s="1"/>
  <c r="Q12" i="98" s="1"/>
  <c r="P12" i="98"/>
  <c r="R12" i="98" s="1"/>
  <c r="G12" i="98"/>
  <c r="G13" i="98" s="1"/>
  <c r="G14" i="98" s="1"/>
  <c r="G15" i="98" s="1"/>
  <c r="G16" i="98" s="1"/>
  <c r="G17" i="98" s="1"/>
  <c r="X27" i="98"/>
  <c r="W32" i="98"/>
  <c r="G18" i="98" l="1"/>
  <c r="G19" i="98" s="1"/>
  <c r="G20" i="98" s="1"/>
  <c r="G21" i="98" s="1"/>
  <c r="G22" i="98" s="1"/>
  <c r="G23" i="98" s="1"/>
  <c r="G24" i="98" s="1"/>
  <c r="G25" i="98" s="1"/>
  <c r="S11" i="98"/>
  <c r="S10" i="98"/>
  <c r="S7" i="98"/>
  <c r="S6" i="98"/>
  <c r="F31" i="98"/>
  <c r="S8" i="98" l="1"/>
  <c r="S4" i="98"/>
  <c r="S12" i="98"/>
  <c r="S5" i="98"/>
  <c r="S9" i="98"/>
  <c r="F36" i="97"/>
  <c r="G33" i="97"/>
  <c r="W31" i="97"/>
  <c r="W30" i="97"/>
  <c r="W27" i="97"/>
  <c r="C27" i="97"/>
  <c r="E26" i="97"/>
  <c r="E27" i="97" s="1"/>
  <c r="F27" i="97" s="1"/>
  <c r="W24" i="97"/>
  <c r="F23" i="97"/>
  <c r="W22" i="97"/>
  <c r="F20" i="97"/>
  <c r="F16" i="97"/>
  <c r="W12" i="97"/>
  <c r="V12" i="97"/>
  <c r="M12" i="97"/>
  <c r="N12" i="97" s="1"/>
  <c r="I12" i="97"/>
  <c r="F12" i="97"/>
  <c r="W11" i="97"/>
  <c r="V11" i="97"/>
  <c r="M11" i="97"/>
  <c r="N11" i="97" s="1"/>
  <c r="I11" i="97"/>
  <c r="W10" i="97"/>
  <c r="V10" i="97"/>
  <c r="M10" i="97"/>
  <c r="N10" i="97" s="1"/>
  <c r="I10" i="97"/>
  <c r="W9" i="97"/>
  <c r="V9" i="97"/>
  <c r="M9" i="97"/>
  <c r="N9" i="97" s="1"/>
  <c r="I9" i="97"/>
  <c r="W8" i="97"/>
  <c r="V8" i="97"/>
  <c r="M8" i="97"/>
  <c r="N8" i="97" s="1"/>
  <c r="I8" i="97"/>
  <c r="W7" i="97"/>
  <c r="V7" i="97"/>
  <c r="M7" i="97"/>
  <c r="N7" i="97" s="1"/>
  <c r="I7" i="97"/>
  <c r="W6" i="97"/>
  <c r="V6" i="97"/>
  <c r="M6" i="97"/>
  <c r="N6" i="97" s="1"/>
  <c r="I6" i="97"/>
  <c r="AE5" i="97"/>
  <c r="W5" i="97"/>
  <c r="V5" i="97"/>
  <c r="M5" i="97"/>
  <c r="N5" i="97" s="1"/>
  <c r="I5" i="97"/>
  <c r="W4" i="97"/>
  <c r="V4" i="97"/>
  <c r="M4" i="97"/>
  <c r="N4" i="97" s="1"/>
  <c r="I4" i="97"/>
  <c r="F13" i="97" l="1"/>
  <c r="F17" i="97"/>
  <c r="F21" i="97"/>
  <c r="F24" i="97"/>
  <c r="F26" i="97" s="1"/>
  <c r="F14" i="97"/>
  <c r="F18" i="97"/>
  <c r="F22" i="97"/>
  <c r="F36" i="156"/>
  <c r="J36" i="156" s="1"/>
  <c r="V36" i="97"/>
  <c r="F11" i="97"/>
  <c r="F15" i="97"/>
  <c r="F19" i="97"/>
  <c r="F25" i="97"/>
  <c r="W33" i="97"/>
  <c r="U4" i="97"/>
  <c r="X4" i="97" s="1"/>
  <c r="Y4" i="97" s="1"/>
  <c r="Z4" i="97" s="1"/>
  <c r="Q4" i="97" s="1"/>
  <c r="P4" i="97"/>
  <c r="R4" i="97" s="1"/>
  <c r="U5" i="97"/>
  <c r="X5" i="97" s="1"/>
  <c r="Y5" i="97" s="1"/>
  <c r="Z5" i="97" s="1"/>
  <c r="Q5" i="97" s="1"/>
  <c r="P5" i="97"/>
  <c r="R5" i="97" s="1"/>
  <c r="U6" i="97"/>
  <c r="X6" i="97" s="1"/>
  <c r="Y6" i="97" s="1"/>
  <c r="Z6" i="97" s="1"/>
  <c r="Q6" i="97" s="1"/>
  <c r="P6" i="97"/>
  <c r="R6" i="97" s="1"/>
  <c r="U7" i="97"/>
  <c r="X7" i="97" s="1"/>
  <c r="Y7" i="97" s="1"/>
  <c r="Z7" i="97" s="1"/>
  <c r="Q7" i="97" s="1"/>
  <c r="P7" i="97"/>
  <c r="R7" i="97" s="1"/>
  <c r="U8" i="97"/>
  <c r="X8" i="97" s="1"/>
  <c r="Y8" i="97" s="1"/>
  <c r="Z8" i="97" s="1"/>
  <c r="Q8" i="97" s="1"/>
  <c r="P8" i="97"/>
  <c r="R8" i="97" s="1"/>
  <c r="U9" i="97"/>
  <c r="X9" i="97" s="1"/>
  <c r="Y9" i="97" s="1"/>
  <c r="Z9" i="97" s="1"/>
  <c r="Q9" i="97" s="1"/>
  <c r="P9" i="97"/>
  <c r="R9" i="97" s="1"/>
  <c r="U10" i="97"/>
  <c r="X10" i="97" s="1"/>
  <c r="Y10" i="97" s="1"/>
  <c r="Z10" i="97" s="1"/>
  <c r="Q10" i="97" s="1"/>
  <c r="P10" i="97"/>
  <c r="R10" i="97" s="1"/>
  <c r="U11" i="97"/>
  <c r="X11" i="97" s="1"/>
  <c r="Y11" i="97" s="1"/>
  <c r="Z11" i="97" s="1"/>
  <c r="Q11" i="97" s="1"/>
  <c r="P11" i="97"/>
  <c r="R11" i="97" s="1"/>
  <c r="U12" i="97"/>
  <c r="X12" i="97" s="1"/>
  <c r="Y12" i="97" s="1"/>
  <c r="Z12" i="97" s="1"/>
  <c r="Q12" i="97" s="1"/>
  <c r="P12" i="97"/>
  <c r="R12" i="97" s="1"/>
  <c r="G12" i="97"/>
  <c r="G13" i="97" s="1"/>
  <c r="G14" i="97" s="1"/>
  <c r="G15" i="97" s="1"/>
  <c r="G16" i="97" s="1"/>
  <c r="G17" i="97" s="1"/>
  <c r="G18" i="97" s="1"/>
  <c r="G19" i="97" s="1"/>
  <c r="G20" i="97" s="1"/>
  <c r="G21" i="97" s="1"/>
  <c r="G22" i="97" s="1"/>
  <c r="G23" i="97" s="1"/>
  <c r="G24" i="97" s="1"/>
  <c r="X27" i="97"/>
  <c r="W32" i="97"/>
  <c r="G25" i="97" l="1"/>
  <c r="S12" i="97"/>
  <c r="S11" i="97"/>
  <c r="S10" i="97"/>
  <c r="S9" i="97"/>
  <c r="S8" i="97"/>
  <c r="S7" i="97"/>
  <c r="S6" i="97"/>
  <c r="S5" i="97"/>
  <c r="S4" i="97"/>
  <c r="F31" i="97"/>
  <c r="F36" i="96" l="1"/>
  <c r="G33" i="96"/>
  <c r="W31" i="96"/>
  <c r="W30" i="96"/>
  <c r="W27" i="96"/>
  <c r="C27" i="96"/>
  <c r="E26" i="96"/>
  <c r="E27" i="96" s="1"/>
  <c r="F27" i="96" s="1"/>
  <c r="F25" i="96"/>
  <c r="W24" i="96"/>
  <c r="F23" i="96"/>
  <c r="W22" i="96"/>
  <c r="F20" i="96"/>
  <c r="F19" i="96"/>
  <c r="F16" i="96"/>
  <c r="F15" i="96"/>
  <c r="W12" i="96"/>
  <c r="V12" i="96"/>
  <c r="M12" i="96"/>
  <c r="N12" i="96" s="1"/>
  <c r="I12" i="96"/>
  <c r="F12" i="96"/>
  <c r="W11" i="96"/>
  <c r="V11" i="96"/>
  <c r="M11" i="96"/>
  <c r="N11" i="96" s="1"/>
  <c r="I11" i="96"/>
  <c r="F11" i="96"/>
  <c r="W10" i="96"/>
  <c r="V10" i="96"/>
  <c r="M10" i="96"/>
  <c r="N10" i="96" s="1"/>
  <c r="I10" i="96"/>
  <c r="W9" i="96"/>
  <c r="V9" i="96"/>
  <c r="M9" i="96"/>
  <c r="N9" i="96" s="1"/>
  <c r="I9" i="96"/>
  <c r="W8" i="96"/>
  <c r="V8" i="96"/>
  <c r="M8" i="96"/>
  <c r="N8" i="96" s="1"/>
  <c r="I8" i="96"/>
  <c r="W7" i="96"/>
  <c r="V7" i="96"/>
  <c r="M7" i="96"/>
  <c r="N7" i="96" s="1"/>
  <c r="I7" i="96"/>
  <c r="W6" i="96"/>
  <c r="V6" i="96"/>
  <c r="M6" i="96"/>
  <c r="N6" i="96" s="1"/>
  <c r="I6" i="96"/>
  <c r="AE5" i="96"/>
  <c r="W5" i="96"/>
  <c r="V5" i="96"/>
  <c r="M5" i="96"/>
  <c r="N5" i="96" s="1"/>
  <c r="I5" i="96"/>
  <c r="W4" i="96"/>
  <c r="V4" i="96"/>
  <c r="M4" i="96"/>
  <c r="N4" i="96" s="1"/>
  <c r="I4" i="96"/>
  <c r="F13" i="96" l="1"/>
  <c r="F17" i="96"/>
  <c r="F21" i="96"/>
  <c r="F24" i="96"/>
  <c r="F14" i="96"/>
  <c r="F26" i="96" s="1"/>
  <c r="F18" i="96"/>
  <c r="F22" i="96"/>
  <c r="F35" i="156"/>
  <c r="J35" i="156" s="1"/>
  <c r="V36" i="96"/>
  <c r="W33" i="96"/>
  <c r="U4" i="96"/>
  <c r="X4" i="96" s="1"/>
  <c r="Y4" i="96" s="1"/>
  <c r="Z4" i="96" s="1"/>
  <c r="Q4" i="96" s="1"/>
  <c r="P4" i="96"/>
  <c r="R4" i="96" s="1"/>
  <c r="U5" i="96"/>
  <c r="X5" i="96" s="1"/>
  <c r="Y5" i="96" s="1"/>
  <c r="Z5" i="96" s="1"/>
  <c r="Q5" i="96" s="1"/>
  <c r="P5" i="96"/>
  <c r="R5" i="96" s="1"/>
  <c r="U6" i="96"/>
  <c r="X6" i="96" s="1"/>
  <c r="Y6" i="96" s="1"/>
  <c r="Z6" i="96" s="1"/>
  <c r="Q6" i="96" s="1"/>
  <c r="P6" i="96"/>
  <c r="R6" i="96" s="1"/>
  <c r="U7" i="96"/>
  <c r="X7" i="96" s="1"/>
  <c r="Y7" i="96" s="1"/>
  <c r="Z7" i="96" s="1"/>
  <c r="Q7" i="96" s="1"/>
  <c r="P7" i="96"/>
  <c r="R7" i="96" s="1"/>
  <c r="U8" i="96"/>
  <c r="X8" i="96" s="1"/>
  <c r="Y8" i="96" s="1"/>
  <c r="Z8" i="96" s="1"/>
  <c r="Q8" i="96" s="1"/>
  <c r="P8" i="96"/>
  <c r="R8" i="96" s="1"/>
  <c r="U9" i="96"/>
  <c r="X9" i="96" s="1"/>
  <c r="Y9" i="96" s="1"/>
  <c r="Z9" i="96" s="1"/>
  <c r="Q9" i="96" s="1"/>
  <c r="P9" i="96"/>
  <c r="R9" i="96" s="1"/>
  <c r="U10" i="96"/>
  <c r="X10" i="96" s="1"/>
  <c r="Y10" i="96" s="1"/>
  <c r="Z10" i="96" s="1"/>
  <c r="Q10" i="96" s="1"/>
  <c r="P10" i="96"/>
  <c r="R10" i="96" s="1"/>
  <c r="U11" i="96"/>
  <c r="X11" i="96" s="1"/>
  <c r="Y11" i="96" s="1"/>
  <c r="Z11" i="96" s="1"/>
  <c r="Q11" i="96" s="1"/>
  <c r="P11" i="96"/>
  <c r="R11" i="96" s="1"/>
  <c r="U12" i="96"/>
  <c r="X12" i="96" s="1"/>
  <c r="Y12" i="96" s="1"/>
  <c r="Z12" i="96" s="1"/>
  <c r="Q12" i="96" s="1"/>
  <c r="P12" i="96"/>
  <c r="R12" i="96" s="1"/>
  <c r="G12" i="96"/>
  <c r="G13" i="96" s="1"/>
  <c r="G14" i="96" s="1"/>
  <c r="G15" i="96" s="1"/>
  <c r="G16" i="96" s="1"/>
  <c r="G17" i="96" s="1"/>
  <c r="G18" i="96" s="1"/>
  <c r="G19" i="96" s="1"/>
  <c r="G20" i="96" s="1"/>
  <c r="G21" i="96" s="1"/>
  <c r="G22" i="96" s="1"/>
  <c r="G23" i="96" s="1"/>
  <c r="G24" i="96" s="1"/>
  <c r="X27" i="96"/>
  <c r="W32" i="96"/>
  <c r="G25" i="96" l="1"/>
  <c r="S12" i="96"/>
  <c r="S11" i="96"/>
  <c r="S10" i="96"/>
  <c r="S9" i="96"/>
  <c r="S8" i="96"/>
  <c r="S7" i="96"/>
  <c r="S6" i="96"/>
  <c r="S5" i="96"/>
  <c r="S4" i="96"/>
  <c r="F31" i="96"/>
  <c r="F36" i="95" l="1"/>
  <c r="G33" i="95"/>
  <c r="W31" i="95"/>
  <c r="W30" i="95"/>
  <c r="W27" i="95"/>
  <c r="C27" i="95"/>
  <c r="E26" i="95"/>
  <c r="E27" i="95" s="1"/>
  <c r="F27" i="95" s="1"/>
  <c r="F25" i="95"/>
  <c r="W24" i="95"/>
  <c r="F23" i="95"/>
  <c r="W22" i="95"/>
  <c r="F20" i="95"/>
  <c r="F19" i="95"/>
  <c r="F16" i="95"/>
  <c r="F15" i="95"/>
  <c r="W12" i="95"/>
  <c r="V12" i="95"/>
  <c r="M12" i="95"/>
  <c r="N12" i="95" s="1"/>
  <c r="I12" i="95"/>
  <c r="F12" i="95"/>
  <c r="W11" i="95"/>
  <c r="V11" i="95"/>
  <c r="M11" i="95"/>
  <c r="N11" i="95" s="1"/>
  <c r="I11" i="95"/>
  <c r="F11" i="95"/>
  <c r="W10" i="95"/>
  <c r="V10" i="95"/>
  <c r="M10" i="95"/>
  <c r="N10" i="95" s="1"/>
  <c r="I10" i="95"/>
  <c r="W9" i="95"/>
  <c r="V9" i="95"/>
  <c r="M9" i="95"/>
  <c r="N9" i="95" s="1"/>
  <c r="I9" i="95"/>
  <c r="W8" i="95"/>
  <c r="V8" i="95"/>
  <c r="M8" i="95"/>
  <c r="N8" i="95" s="1"/>
  <c r="I8" i="95"/>
  <c r="W7" i="95"/>
  <c r="V7" i="95"/>
  <c r="M7" i="95"/>
  <c r="N7" i="95" s="1"/>
  <c r="I7" i="95"/>
  <c r="W6" i="95"/>
  <c r="V6" i="95"/>
  <c r="M6" i="95"/>
  <c r="N6" i="95" s="1"/>
  <c r="I6" i="95"/>
  <c r="AE5" i="95"/>
  <c r="W5" i="95"/>
  <c r="V5" i="95"/>
  <c r="M5" i="95"/>
  <c r="N5" i="95" s="1"/>
  <c r="I5" i="95"/>
  <c r="W4" i="95"/>
  <c r="V4" i="95"/>
  <c r="M4" i="95"/>
  <c r="N4" i="95" s="1"/>
  <c r="I4" i="95"/>
  <c r="F13" i="95" l="1"/>
  <c r="F26" i="95" s="1"/>
  <c r="F17" i="95"/>
  <c r="F21" i="95"/>
  <c r="F24" i="95"/>
  <c r="F14" i="95"/>
  <c r="F18" i="95"/>
  <c r="F22" i="95"/>
  <c r="F34" i="156"/>
  <c r="J34" i="156" s="1"/>
  <c r="V36" i="95"/>
  <c r="W33" i="95"/>
  <c r="U4" i="95"/>
  <c r="X4" i="95" s="1"/>
  <c r="Y4" i="95" s="1"/>
  <c r="Z4" i="95" s="1"/>
  <c r="Q4" i="95" s="1"/>
  <c r="P4" i="95"/>
  <c r="R4" i="95" s="1"/>
  <c r="U5" i="95"/>
  <c r="X5" i="95" s="1"/>
  <c r="Y5" i="95" s="1"/>
  <c r="Z5" i="95" s="1"/>
  <c r="Q5" i="95" s="1"/>
  <c r="P5" i="95"/>
  <c r="R5" i="95" s="1"/>
  <c r="U6" i="95"/>
  <c r="X6" i="95" s="1"/>
  <c r="Y6" i="95" s="1"/>
  <c r="Z6" i="95" s="1"/>
  <c r="Q6" i="95" s="1"/>
  <c r="P6" i="95"/>
  <c r="R6" i="95" s="1"/>
  <c r="U7" i="95"/>
  <c r="X7" i="95" s="1"/>
  <c r="Y7" i="95" s="1"/>
  <c r="Z7" i="95" s="1"/>
  <c r="Q7" i="95" s="1"/>
  <c r="P7" i="95"/>
  <c r="R7" i="95" s="1"/>
  <c r="U8" i="95"/>
  <c r="X8" i="95" s="1"/>
  <c r="Y8" i="95" s="1"/>
  <c r="Z8" i="95" s="1"/>
  <c r="Q8" i="95" s="1"/>
  <c r="P8" i="95"/>
  <c r="R8" i="95" s="1"/>
  <c r="U9" i="95"/>
  <c r="X9" i="95" s="1"/>
  <c r="Y9" i="95" s="1"/>
  <c r="Z9" i="95" s="1"/>
  <c r="Q9" i="95" s="1"/>
  <c r="P9" i="95"/>
  <c r="R9" i="95" s="1"/>
  <c r="U10" i="95"/>
  <c r="X10" i="95" s="1"/>
  <c r="Y10" i="95" s="1"/>
  <c r="Z10" i="95" s="1"/>
  <c r="Q10" i="95" s="1"/>
  <c r="P10" i="95"/>
  <c r="R10" i="95" s="1"/>
  <c r="U11" i="95"/>
  <c r="X11" i="95" s="1"/>
  <c r="Y11" i="95" s="1"/>
  <c r="Z11" i="95" s="1"/>
  <c r="Q11" i="95" s="1"/>
  <c r="P11" i="95"/>
  <c r="R11" i="95" s="1"/>
  <c r="U12" i="95"/>
  <c r="X12" i="95" s="1"/>
  <c r="Y12" i="95" s="1"/>
  <c r="Z12" i="95" s="1"/>
  <c r="Q12" i="95" s="1"/>
  <c r="P12" i="95"/>
  <c r="R12" i="95" s="1"/>
  <c r="G12" i="95"/>
  <c r="G13" i="95" s="1"/>
  <c r="G14" i="95" s="1"/>
  <c r="G15" i="95" s="1"/>
  <c r="G16" i="95" s="1"/>
  <c r="G17" i="95" s="1"/>
  <c r="G18" i="95" s="1"/>
  <c r="G19" i="95" s="1"/>
  <c r="G20" i="95" s="1"/>
  <c r="X27" i="95"/>
  <c r="W32" i="95"/>
  <c r="G21" i="95" l="1"/>
  <c r="G22" i="95" s="1"/>
  <c r="G23" i="95" s="1"/>
  <c r="G24" i="95" s="1"/>
  <c r="G25" i="95" s="1"/>
  <c r="S10" i="95"/>
  <c r="S6" i="95"/>
  <c r="F31" i="95" l="1"/>
  <c r="S7" i="95"/>
  <c r="S11" i="95"/>
  <c r="S4" i="95"/>
  <c r="S8" i="95"/>
  <c r="S12" i="95"/>
  <c r="S5" i="95"/>
  <c r="S9" i="95"/>
  <c r="F36" i="94"/>
  <c r="G33" i="94"/>
  <c r="W31" i="94"/>
  <c r="W30" i="94"/>
  <c r="W27" i="94"/>
  <c r="C27" i="94"/>
  <c r="E26" i="94"/>
  <c r="E27" i="94" s="1"/>
  <c r="F27" i="94" s="1"/>
  <c r="F25" i="94"/>
  <c r="W24" i="94"/>
  <c r="F23" i="94"/>
  <c r="W22" i="94"/>
  <c r="F20" i="94"/>
  <c r="F19" i="94"/>
  <c r="F16" i="94"/>
  <c r="F15" i="94"/>
  <c r="W12" i="94"/>
  <c r="V12" i="94"/>
  <c r="M12" i="94"/>
  <c r="N12" i="94" s="1"/>
  <c r="I12" i="94"/>
  <c r="F12" i="94"/>
  <c r="W11" i="94"/>
  <c r="V11" i="94"/>
  <c r="M11" i="94"/>
  <c r="N11" i="94" s="1"/>
  <c r="I11" i="94"/>
  <c r="F11" i="94"/>
  <c r="W10" i="94"/>
  <c r="V10" i="94"/>
  <c r="M10" i="94"/>
  <c r="N10" i="94" s="1"/>
  <c r="I10" i="94"/>
  <c r="W9" i="94"/>
  <c r="V9" i="94"/>
  <c r="M9" i="94"/>
  <c r="N9" i="94" s="1"/>
  <c r="I9" i="94"/>
  <c r="W8" i="94"/>
  <c r="V8" i="94"/>
  <c r="M8" i="94"/>
  <c r="N8" i="94" s="1"/>
  <c r="I8" i="94"/>
  <c r="W7" i="94"/>
  <c r="V7" i="94"/>
  <c r="M7" i="94"/>
  <c r="N7" i="94" s="1"/>
  <c r="I7" i="94"/>
  <c r="W6" i="94"/>
  <c r="V6" i="94"/>
  <c r="M6" i="94"/>
  <c r="N6" i="94" s="1"/>
  <c r="I6" i="94"/>
  <c r="AE5" i="94"/>
  <c r="W5" i="94"/>
  <c r="V5" i="94"/>
  <c r="M5" i="94"/>
  <c r="N5" i="94" s="1"/>
  <c r="I5" i="94"/>
  <c r="W4" i="94"/>
  <c r="V4" i="94"/>
  <c r="M4" i="94"/>
  <c r="N4" i="94" s="1"/>
  <c r="I4" i="94"/>
  <c r="F13" i="94" l="1"/>
  <c r="F17" i="94"/>
  <c r="F21" i="94"/>
  <c r="F24" i="94"/>
  <c r="F14" i="94"/>
  <c r="F26" i="94" s="1"/>
  <c r="F18" i="94"/>
  <c r="F22" i="94"/>
  <c r="F32" i="156"/>
  <c r="V36" i="94"/>
  <c r="G32" i="156"/>
  <c r="W33" i="94"/>
  <c r="U4" i="94"/>
  <c r="X4" i="94" s="1"/>
  <c r="Y4" i="94" s="1"/>
  <c r="Z4" i="94" s="1"/>
  <c r="Q4" i="94" s="1"/>
  <c r="P4" i="94"/>
  <c r="R4" i="94" s="1"/>
  <c r="U5" i="94"/>
  <c r="X5" i="94" s="1"/>
  <c r="Y5" i="94" s="1"/>
  <c r="Z5" i="94" s="1"/>
  <c r="Q5" i="94" s="1"/>
  <c r="P5" i="94"/>
  <c r="R5" i="94" s="1"/>
  <c r="U6" i="94"/>
  <c r="X6" i="94" s="1"/>
  <c r="Y6" i="94" s="1"/>
  <c r="Z6" i="94" s="1"/>
  <c r="Q6" i="94" s="1"/>
  <c r="P6" i="94"/>
  <c r="R6" i="94" s="1"/>
  <c r="U7" i="94"/>
  <c r="X7" i="94" s="1"/>
  <c r="Y7" i="94" s="1"/>
  <c r="Z7" i="94" s="1"/>
  <c r="Q7" i="94" s="1"/>
  <c r="P7" i="94"/>
  <c r="R7" i="94" s="1"/>
  <c r="U8" i="94"/>
  <c r="X8" i="94" s="1"/>
  <c r="Y8" i="94" s="1"/>
  <c r="Z8" i="94" s="1"/>
  <c r="Q8" i="94" s="1"/>
  <c r="P8" i="94"/>
  <c r="R8" i="94" s="1"/>
  <c r="U9" i="94"/>
  <c r="X9" i="94" s="1"/>
  <c r="Y9" i="94" s="1"/>
  <c r="Z9" i="94" s="1"/>
  <c r="Q9" i="94" s="1"/>
  <c r="P9" i="94"/>
  <c r="R9" i="94" s="1"/>
  <c r="U10" i="94"/>
  <c r="X10" i="94" s="1"/>
  <c r="Y10" i="94" s="1"/>
  <c r="Z10" i="94" s="1"/>
  <c r="Q10" i="94" s="1"/>
  <c r="P10" i="94"/>
  <c r="R10" i="94" s="1"/>
  <c r="U11" i="94"/>
  <c r="X11" i="94" s="1"/>
  <c r="Y11" i="94" s="1"/>
  <c r="Z11" i="94" s="1"/>
  <c r="Q11" i="94" s="1"/>
  <c r="P11" i="94"/>
  <c r="R11" i="94" s="1"/>
  <c r="U12" i="94"/>
  <c r="X12" i="94" s="1"/>
  <c r="Y12" i="94" s="1"/>
  <c r="Z12" i="94" s="1"/>
  <c r="Q12" i="94" s="1"/>
  <c r="P12" i="94"/>
  <c r="R12" i="94" s="1"/>
  <c r="G12" i="94"/>
  <c r="G13" i="94" s="1"/>
  <c r="G14" i="94" s="1"/>
  <c r="G15" i="94" s="1"/>
  <c r="G16" i="94" s="1"/>
  <c r="G17" i="94" s="1"/>
  <c r="G18" i="94" s="1"/>
  <c r="G19" i="94" s="1"/>
  <c r="G20" i="94" s="1"/>
  <c r="G21" i="94" s="1"/>
  <c r="G22" i="94" s="1"/>
  <c r="G23" i="94" s="1"/>
  <c r="G24" i="94" s="1"/>
  <c r="X27" i="94"/>
  <c r="W32" i="94"/>
  <c r="J32" i="156" l="1"/>
  <c r="G25" i="94"/>
  <c r="S12" i="94"/>
  <c r="S11" i="94"/>
  <c r="S10" i="94"/>
  <c r="S9" i="94"/>
  <c r="S8" i="94"/>
  <c r="S7" i="94"/>
  <c r="S6" i="94"/>
  <c r="S5" i="94"/>
  <c r="S4" i="94"/>
  <c r="F31" i="94"/>
  <c r="F36" i="93" l="1"/>
  <c r="G33" i="93"/>
  <c r="W31" i="93"/>
  <c r="W30" i="93"/>
  <c r="W27" i="93"/>
  <c r="C27" i="93"/>
  <c r="E26" i="93"/>
  <c r="E27" i="93" s="1"/>
  <c r="F27" i="93" s="1"/>
  <c r="F25" i="93"/>
  <c r="W24" i="93"/>
  <c r="F31" i="156" s="1"/>
  <c r="J31" i="156" s="1"/>
  <c r="F23" i="93"/>
  <c r="W22" i="93"/>
  <c r="F22" i="93"/>
  <c r="F20" i="93"/>
  <c r="F19" i="93"/>
  <c r="F18" i="93"/>
  <c r="F16" i="93"/>
  <c r="F15" i="93"/>
  <c r="F14" i="93"/>
  <c r="W12" i="93"/>
  <c r="V12" i="93"/>
  <c r="M12" i="93"/>
  <c r="N12" i="93" s="1"/>
  <c r="I12" i="93"/>
  <c r="F12" i="93"/>
  <c r="W11" i="93"/>
  <c r="V11" i="93"/>
  <c r="M11" i="93"/>
  <c r="N11" i="93" s="1"/>
  <c r="I11" i="93"/>
  <c r="F11" i="93"/>
  <c r="W10" i="93"/>
  <c r="V10" i="93"/>
  <c r="M10" i="93"/>
  <c r="N10" i="93" s="1"/>
  <c r="I10" i="93"/>
  <c r="W9" i="93"/>
  <c r="V9" i="93"/>
  <c r="M9" i="93"/>
  <c r="N9" i="93" s="1"/>
  <c r="I9" i="93"/>
  <c r="W8" i="93"/>
  <c r="V8" i="93"/>
  <c r="M8" i="93"/>
  <c r="N8" i="93" s="1"/>
  <c r="I8" i="93"/>
  <c r="W7" i="93"/>
  <c r="V7" i="93"/>
  <c r="M7" i="93"/>
  <c r="N7" i="93" s="1"/>
  <c r="I7" i="93"/>
  <c r="W6" i="93"/>
  <c r="V6" i="93"/>
  <c r="M6" i="93"/>
  <c r="N6" i="93" s="1"/>
  <c r="I6" i="93"/>
  <c r="AE5" i="93"/>
  <c r="W5" i="93"/>
  <c r="V5" i="93"/>
  <c r="M5" i="93"/>
  <c r="N5" i="93" s="1"/>
  <c r="I5" i="93"/>
  <c r="W4" i="93"/>
  <c r="V4" i="93"/>
  <c r="M4" i="93"/>
  <c r="N4" i="93" s="1"/>
  <c r="I4" i="93"/>
  <c r="F13" i="93" l="1"/>
  <c r="F26" i="93" s="1"/>
  <c r="F17" i="93"/>
  <c r="F21" i="93"/>
  <c r="F24" i="93"/>
  <c r="V36" i="93"/>
  <c r="W33" i="93"/>
  <c r="U4" i="93"/>
  <c r="X4" i="93" s="1"/>
  <c r="Y4" i="93" s="1"/>
  <c r="Z4" i="93" s="1"/>
  <c r="Q4" i="93" s="1"/>
  <c r="P4" i="93"/>
  <c r="R4" i="93" s="1"/>
  <c r="U5" i="93"/>
  <c r="X5" i="93" s="1"/>
  <c r="Y5" i="93" s="1"/>
  <c r="Z5" i="93" s="1"/>
  <c r="Q5" i="93" s="1"/>
  <c r="P5" i="93"/>
  <c r="R5" i="93" s="1"/>
  <c r="U6" i="93"/>
  <c r="X6" i="93" s="1"/>
  <c r="Y6" i="93" s="1"/>
  <c r="Z6" i="93" s="1"/>
  <c r="Q6" i="93" s="1"/>
  <c r="P6" i="93"/>
  <c r="R6" i="93" s="1"/>
  <c r="U7" i="93"/>
  <c r="X7" i="93" s="1"/>
  <c r="Y7" i="93" s="1"/>
  <c r="Z7" i="93" s="1"/>
  <c r="Q7" i="93" s="1"/>
  <c r="P7" i="93"/>
  <c r="R7" i="93" s="1"/>
  <c r="U8" i="93"/>
  <c r="X8" i="93" s="1"/>
  <c r="Y8" i="93" s="1"/>
  <c r="Z8" i="93" s="1"/>
  <c r="Q8" i="93" s="1"/>
  <c r="P8" i="93"/>
  <c r="R8" i="93" s="1"/>
  <c r="U9" i="93"/>
  <c r="X9" i="93" s="1"/>
  <c r="Y9" i="93" s="1"/>
  <c r="Z9" i="93" s="1"/>
  <c r="Q9" i="93" s="1"/>
  <c r="P9" i="93"/>
  <c r="R9" i="93" s="1"/>
  <c r="U10" i="93"/>
  <c r="X10" i="93" s="1"/>
  <c r="Y10" i="93" s="1"/>
  <c r="Z10" i="93" s="1"/>
  <c r="Q10" i="93" s="1"/>
  <c r="P10" i="93"/>
  <c r="R10" i="93" s="1"/>
  <c r="U11" i="93"/>
  <c r="X11" i="93" s="1"/>
  <c r="Y11" i="93" s="1"/>
  <c r="Z11" i="93" s="1"/>
  <c r="Q11" i="93" s="1"/>
  <c r="P11" i="93"/>
  <c r="R11" i="93" s="1"/>
  <c r="U12" i="93"/>
  <c r="X12" i="93" s="1"/>
  <c r="Y12" i="93" s="1"/>
  <c r="Z12" i="93" s="1"/>
  <c r="Q12" i="93" s="1"/>
  <c r="P12" i="93"/>
  <c r="R12" i="93" s="1"/>
  <c r="G12" i="93"/>
  <c r="G13" i="93" s="1"/>
  <c r="G14" i="93" s="1"/>
  <c r="G15" i="93" s="1"/>
  <c r="G16" i="93" s="1"/>
  <c r="G17" i="93" s="1"/>
  <c r="G18" i="93" s="1"/>
  <c r="G19" i="93" s="1"/>
  <c r="G20" i="93" s="1"/>
  <c r="X27" i="93"/>
  <c r="W32" i="93"/>
  <c r="G21" i="93" l="1"/>
  <c r="G22" i="93" s="1"/>
  <c r="G23" i="93" s="1"/>
  <c r="G24" i="93" s="1"/>
  <c r="G25" i="93"/>
  <c r="S12" i="93"/>
  <c r="S11" i="93"/>
  <c r="S10" i="93"/>
  <c r="S9" i="93"/>
  <c r="S8" i="93"/>
  <c r="S7" i="93"/>
  <c r="S6" i="93"/>
  <c r="S5" i="93"/>
  <c r="S4" i="93"/>
  <c r="F31" i="93"/>
  <c r="F36" i="92" l="1"/>
  <c r="G33" i="92"/>
  <c r="W31" i="92"/>
  <c r="W30" i="92"/>
  <c r="C27" i="92"/>
  <c r="E26" i="92"/>
  <c r="E27" i="92" s="1"/>
  <c r="F27" i="92" s="1"/>
  <c r="F25" i="92"/>
  <c r="W24" i="92"/>
  <c r="F30" i="156" s="1"/>
  <c r="J30" i="156" s="1"/>
  <c r="F24" i="92"/>
  <c r="F23" i="92"/>
  <c r="W22" i="92"/>
  <c r="F22" i="92"/>
  <c r="F21" i="92"/>
  <c r="F20" i="92"/>
  <c r="F19" i="92"/>
  <c r="F18" i="92"/>
  <c r="F17" i="92"/>
  <c r="F16" i="92"/>
  <c r="F15" i="92"/>
  <c r="F14" i="92"/>
  <c r="F13" i="92"/>
  <c r="W12" i="92"/>
  <c r="V12" i="92"/>
  <c r="M12" i="92"/>
  <c r="N12" i="92" s="1"/>
  <c r="I12" i="92"/>
  <c r="F12" i="92"/>
  <c r="W11" i="92"/>
  <c r="V11" i="92"/>
  <c r="M11" i="92"/>
  <c r="N11" i="92" s="1"/>
  <c r="I11" i="92"/>
  <c r="F11" i="92"/>
  <c r="W10" i="92"/>
  <c r="V10" i="92"/>
  <c r="M10" i="92"/>
  <c r="N10" i="92" s="1"/>
  <c r="I10" i="92"/>
  <c r="W9" i="92"/>
  <c r="V9" i="92"/>
  <c r="M9" i="92"/>
  <c r="N9" i="92" s="1"/>
  <c r="I9" i="92"/>
  <c r="W8" i="92"/>
  <c r="V8" i="92"/>
  <c r="M8" i="92"/>
  <c r="N8" i="92" s="1"/>
  <c r="I8" i="92"/>
  <c r="W7" i="92"/>
  <c r="V7" i="92"/>
  <c r="M7" i="92"/>
  <c r="N7" i="92" s="1"/>
  <c r="I7" i="92"/>
  <c r="W6" i="92"/>
  <c r="V6" i="92"/>
  <c r="M6" i="92"/>
  <c r="N6" i="92" s="1"/>
  <c r="I6" i="92"/>
  <c r="AE5" i="92"/>
  <c r="W5" i="92"/>
  <c r="V5" i="92"/>
  <c r="M5" i="92"/>
  <c r="N5" i="92" s="1"/>
  <c r="I5" i="92"/>
  <c r="W4" i="92"/>
  <c r="V4" i="92"/>
  <c r="M4" i="92"/>
  <c r="N4" i="92" s="1"/>
  <c r="I4" i="92"/>
  <c r="F26" i="92" l="1"/>
  <c r="V36" i="92"/>
  <c r="W33" i="92"/>
  <c r="U4" i="92"/>
  <c r="X4" i="92" s="1"/>
  <c r="Y4" i="92" s="1"/>
  <c r="Z4" i="92" s="1"/>
  <c r="Q4" i="92" s="1"/>
  <c r="P4" i="92"/>
  <c r="R4" i="92" s="1"/>
  <c r="U5" i="92"/>
  <c r="X5" i="92" s="1"/>
  <c r="Y5" i="92" s="1"/>
  <c r="Z5" i="92" s="1"/>
  <c r="Q5" i="92" s="1"/>
  <c r="P5" i="92"/>
  <c r="R5" i="92" s="1"/>
  <c r="U6" i="92"/>
  <c r="X6" i="92" s="1"/>
  <c r="Y6" i="92" s="1"/>
  <c r="Z6" i="92" s="1"/>
  <c r="Q6" i="92" s="1"/>
  <c r="P6" i="92"/>
  <c r="R6" i="92" s="1"/>
  <c r="U7" i="92"/>
  <c r="X7" i="92" s="1"/>
  <c r="Y7" i="92" s="1"/>
  <c r="Z7" i="92" s="1"/>
  <c r="Q7" i="92" s="1"/>
  <c r="P7" i="92"/>
  <c r="R7" i="92" s="1"/>
  <c r="U8" i="92"/>
  <c r="X8" i="92" s="1"/>
  <c r="Y8" i="92" s="1"/>
  <c r="Z8" i="92" s="1"/>
  <c r="Q8" i="92" s="1"/>
  <c r="P8" i="92"/>
  <c r="R8" i="92" s="1"/>
  <c r="U9" i="92"/>
  <c r="X9" i="92" s="1"/>
  <c r="Y9" i="92" s="1"/>
  <c r="Z9" i="92" s="1"/>
  <c r="Q9" i="92" s="1"/>
  <c r="P9" i="92"/>
  <c r="R9" i="92" s="1"/>
  <c r="U10" i="92"/>
  <c r="X10" i="92" s="1"/>
  <c r="Y10" i="92" s="1"/>
  <c r="Z10" i="92" s="1"/>
  <c r="Q10" i="92" s="1"/>
  <c r="P10" i="92"/>
  <c r="R10" i="92" s="1"/>
  <c r="U11" i="92"/>
  <c r="X11" i="92" s="1"/>
  <c r="Y11" i="92" s="1"/>
  <c r="Z11" i="92" s="1"/>
  <c r="Q11" i="92" s="1"/>
  <c r="P11" i="92"/>
  <c r="R11" i="92" s="1"/>
  <c r="U12" i="92"/>
  <c r="X12" i="92" s="1"/>
  <c r="Y12" i="92" s="1"/>
  <c r="Z12" i="92" s="1"/>
  <c r="Q12" i="92" s="1"/>
  <c r="P12" i="92"/>
  <c r="R12" i="92" s="1"/>
  <c r="G12" i="92"/>
  <c r="G13" i="92" s="1"/>
  <c r="G14" i="92" s="1"/>
  <c r="G15" i="92" s="1"/>
  <c r="G16" i="92" s="1"/>
  <c r="G17" i="92" s="1"/>
  <c r="G18" i="92" s="1"/>
  <c r="G19" i="92" s="1"/>
  <c r="G20" i="92" s="1"/>
  <c r="G21" i="92" s="1"/>
  <c r="G22" i="92" s="1"/>
  <c r="G23" i="92" s="1"/>
  <c r="G24" i="92" s="1"/>
  <c r="X27" i="92"/>
  <c r="W32" i="92"/>
  <c r="G25" i="92" l="1"/>
  <c r="S12" i="92"/>
  <c r="S11" i="92"/>
  <c r="S10" i="92"/>
  <c r="S9" i="92"/>
  <c r="S8" i="92"/>
  <c r="S7" i="92"/>
  <c r="S6" i="92"/>
  <c r="S5" i="92"/>
  <c r="S4" i="92"/>
  <c r="F31" i="92"/>
  <c r="F36" i="91" l="1"/>
  <c r="G33" i="91"/>
  <c r="W31" i="91"/>
  <c r="W30" i="91"/>
  <c r="W27" i="91"/>
  <c r="C27" i="91"/>
  <c r="E26" i="91"/>
  <c r="E27" i="91" s="1"/>
  <c r="F27" i="91" s="1"/>
  <c r="F25" i="91"/>
  <c r="W24" i="91"/>
  <c r="F28" i="156" s="1"/>
  <c r="J28" i="156" s="1"/>
  <c r="F23" i="91"/>
  <c r="W22" i="91"/>
  <c r="F22" i="91"/>
  <c r="F20" i="91"/>
  <c r="F19" i="91"/>
  <c r="F18" i="91"/>
  <c r="F17" i="91"/>
  <c r="F16" i="91"/>
  <c r="F15" i="91"/>
  <c r="F14" i="91"/>
  <c r="F13" i="91"/>
  <c r="W12" i="91"/>
  <c r="V12" i="91"/>
  <c r="M12" i="91"/>
  <c r="N12" i="91" s="1"/>
  <c r="I12" i="91"/>
  <c r="F12" i="91"/>
  <c r="W11" i="91"/>
  <c r="V11" i="91"/>
  <c r="M11" i="91"/>
  <c r="N11" i="91" s="1"/>
  <c r="I11" i="91"/>
  <c r="F11" i="91"/>
  <c r="W10" i="91"/>
  <c r="V10" i="91"/>
  <c r="M10" i="91"/>
  <c r="N10" i="91" s="1"/>
  <c r="I10" i="91"/>
  <c r="W9" i="91"/>
  <c r="V9" i="91"/>
  <c r="M9" i="91"/>
  <c r="N9" i="91" s="1"/>
  <c r="I9" i="91"/>
  <c r="W8" i="91"/>
  <c r="V8" i="91"/>
  <c r="M8" i="91"/>
  <c r="N8" i="91" s="1"/>
  <c r="I8" i="91"/>
  <c r="W7" i="91"/>
  <c r="V7" i="91"/>
  <c r="M7" i="91"/>
  <c r="N7" i="91" s="1"/>
  <c r="I7" i="91"/>
  <c r="W6" i="91"/>
  <c r="V6" i="91"/>
  <c r="M6" i="91"/>
  <c r="N6" i="91" s="1"/>
  <c r="I6" i="91"/>
  <c r="AE5" i="91"/>
  <c r="W5" i="91"/>
  <c r="V5" i="91"/>
  <c r="M5" i="91"/>
  <c r="N5" i="91" s="1"/>
  <c r="I5" i="91"/>
  <c r="W4" i="91"/>
  <c r="V4" i="91"/>
  <c r="M4" i="91"/>
  <c r="N4" i="91" s="1"/>
  <c r="I4" i="91"/>
  <c r="F21" i="91" l="1"/>
  <c r="F26" i="91" s="1"/>
  <c r="F24" i="91"/>
  <c r="V36" i="91"/>
  <c r="W33" i="91"/>
  <c r="U4" i="91"/>
  <c r="X4" i="91" s="1"/>
  <c r="Y4" i="91" s="1"/>
  <c r="Z4" i="91" s="1"/>
  <c r="Q4" i="91" s="1"/>
  <c r="P4" i="91"/>
  <c r="R4" i="91" s="1"/>
  <c r="U5" i="91"/>
  <c r="X5" i="91" s="1"/>
  <c r="Y5" i="91" s="1"/>
  <c r="Z5" i="91" s="1"/>
  <c r="Q5" i="91" s="1"/>
  <c r="P5" i="91"/>
  <c r="R5" i="91" s="1"/>
  <c r="U6" i="91"/>
  <c r="X6" i="91" s="1"/>
  <c r="Y6" i="91" s="1"/>
  <c r="Z6" i="91" s="1"/>
  <c r="Q6" i="91" s="1"/>
  <c r="P6" i="91"/>
  <c r="R6" i="91" s="1"/>
  <c r="U7" i="91"/>
  <c r="X7" i="91" s="1"/>
  <c r="Y7" i="91" s="1"/>
  <c r="Z7" i="91" s="1"/>
  <c r="Q7" i="91" s="1"/>
  <c r="P7" i="91"/>
  <c r="R7" i="91" s="1"/>
  <c r="U8" i="91"/>
  <c r="X8" i="91" s="1"/>
  <c r="Y8" i="91" s="1"/>
  <c r="Z8" i="91" s="1"/>
  <c r="Q8" i="91" s="1"/>
  <c r="P8" i="91"/>
  <c r="R8" i="91" s="1"/>
  <c r="U9" i="91"/>
  <c r="X9" i="91" s="1"/>
  <c r="Y9" i="91" s="1"/>
  <c r="Z9" i="91" s="1"/>
  <c r="Q9" i="91" s="1"/>
  <c r="P9" i="91"/>
  <c r="R9" i="91" s="1"/>
  <c r="U10" i="91"/>
  <c r="X10" i="91" s="1"/>
  <c r="Y10" i="91" s="1"/>
  <c r="Z10" i="91" s="1"/>
  <c r="Q10" i="91" s="1"/>
  <c r="P10" i="91"/>
  <c r="R10" i="91" s="1"/>
  <c r="U11" i="91"/>
  <c r="X11" i="91" s="1"/>
  <c r="Y11" i="91" s="1"/>
  <c r="Z11" i="91" s="1"/>
  <c r="Q11" i="91" s="1"/>
  <c r="P11" i="91"/>
  <c r="R11" i="91" s="1"/>
  <c r="U12" i="91"/>
  <c r="X12" i="91" s="1"/>
  <c r="Y12" i="91" s="1"/>
  <c r="Z12" i="91" s="1"/>
  <c r="Q12" i="91" s="1"/>
  <c r="P12" i="91"/>
  <c r="R12" i="91" s="1"/>
  <c r="G12" i="91"/>
  <c r="G13" i="91" s="1"/>
  <c r="G14" i="91" s="1"/>
  <c r="G15" i="91" s="1"/>
  <c r="G16" i="91" s="1"/>
  <c r="G17" i="91" s="1"/>
  <c r="G18" i="91" s="1"/>
  <c r="G19" i="91" s="1"/>
  <c r="G20" i="91" s="1"/>
  <c r="G21" i="91" s="1"/>
  <c r="G22" i="91" s="1"/>
  <c r="G23" i="91" s="1"/>
  <c r="G24" i="91" s="1"/>
  <c r="X27" i="91"/>
  <c r="W32" i="91"/>
  <c r="G25" i="91" l="1"/>
  <c r="S12" i="91"/>
  <c r="S11" i="91"/>
  <c r="S10" i="91"/>
  <c r="S9" i="91"/>
  <c r="S8" i="91"/>
  <c r="S7" i="91"/>
  <c r="S6" i="91"/>
  <c r="S5" i="91"/>
  <c r="S4" i="91"/>
  <c r="F31" i="91"/>
  <c r="F36" i="90" l="1"/>
  <c r="G33" i="90"/>
  <c r="W31" i="90"/>
  <c r="W30" i="90"/>
  <c r="W27" i="90"/>
  <c r="C27" i="90"/>
  <c r="E26" i="90"/>
  <c r="E27" i="90" s="1"/>
  <c r="F27" i="90" s="1"/>
  <c r="F25" i="90"/>
  <c r="W24" i="90"/>
  <c r="F27" i="156" s="1"/>
  <c r="J27" i="156" s="1"/>
  <c r="F23" i="90"/>
  <c r="W22" i="90"/>
  <c r="F22" i="90"/>
  <c r="F20" i="90"/>
  <c r="F19" i="90"/>
  <c r="F18" i="90"/>
  <c r="F17" i="90"/>
  <c r="F16" i="90"/>
  <c r="F15" i="90"/>
  <c r="F14" i="90"/>
  <c r="F13" i="90"/>
  <c r="W12" i="90"/>
  <c r="V12" i="90"/>
  <c r="M12" i="90"/>
  <c r="N12" i="90" s="1"/>
  <c r="I12" i="90"/>
  <c r="F12" i="90"/>
  <c r="W11" i="90"/>
  <c r="V11" i="90"/>
  <c r="M11" i="90"/>
  <c r="N11" i="90" s="1"/>
  <c r="I11" i="90"/>
  <c r="F11" i="90"/>
  <c r="W10" i="90"/>
  <c r="V10" i="90"/>
  <c r="M10" i="90"/>
  <c r="N10" i="90" s="1"/>
  <c r="I10" i="90"/>
  <c r="W9" i="90"/>
  <c r="V9" i="90"/>
  <c r="M9" i="90"/>
  <c r="N9" i="90" s="1"/>
  <c r="I9" i="90"/>
  <c r="W8" i="90"/>
  <c r="V8" i="90"/>
  <c r="M8" i="90"/>
  <c r="N8" i="90" s="1"/>
  <c r="I8" i="90"/>
  <c r="W7" i="90"/>
  <c r="V7" i="90"/>
  <c r="M7" i="90"/>
  <c r="N7" i="90" s="1"/>
  <c r="I7" i="90"/>
  <c r="W6" i="90"/>
  <c r="V6" i="90"/>
  <c r="M6" i="90"/>
  <c r="N6" i="90" s="1"/>
  <c r="I6" i="90"/>
  <c r="AE5" i="90"/>
  <c r="W5" i="90"/>
  <c r="V5" i="90"/>
  <c r="M5" i="90"/>
  <c r="N5" i="90" s="1"/>
  <c r="I5" i="90"/>
  <c r="W4" i="90"/>
  <c r="V4" i="90"/>
  <c r="M4" i="90"/>
  <c r="N4" i="90" s="1"/>
  <c r="I4" i="90"/>
  <c r="F21" i="90" l="1"/>
  <c r="F26" i="90" s="1"/>
  <c r="F24" i="90"/>
  <c r="V36" i="90"/>
  <c r="W33" i="90"/>
  <c r="U4" i="90"/>
  <c r="X4" i="90" s="1"/>
  <c r="Y4" i="90" s="1"/>
  <c r="Z4" i="90" s="1"/>
  <c r="Q4" i="90" s="1"/>
  <c r="P4" i="90"/>
  <c r="R4" i="90" s="1"/>
  <c r="U5" i="90"/>
  <c r="X5" i="90" s="1"/>
  <c r="Y5" i="90" s="1"/>
  <c r="Z5" i="90" s="1"/>
  <c r="Q5" i="90" s="1"/>
  <c r="P5" i="90"/>
  <c r="R5" i="90" s="1"/>
  <c r="U6" i="90"/>
  <c r="X6" i="90" s="1"/>
  <c r="Y6" i="90" s="1"/>
  <c r="Z6" i="90" s="1"/>
  <c r="Q6" i="90" s="1"/>
  <c r="P6" i="90"/>
  <c r="R6" i="90" s="1"/>
  <c r="U7" i="90"/>
  <c r="X7" i="90" s="1"/>
  <c r="Y7" i="90" s="1"/>
  <c r="Z7" i="90" s="1"/>
  <c r="Q7" i="90" s="1"/>
  <c r="P7" i="90"/>
  <c r="R7" i="90" s="1"/>
  <c r="U8" i="90"/>
  <c r="X8" i="90" s="1"/>
  <c r="Y8" i="90" s="1"/>
  <c r="Z8" i="90" s="1"/>
  <c r="Q8" i="90" s="1"/>
  <c r="P8" i="90"/>
  <c r="R8" i="90" s="1"/>
  <c r="U9" i="90"/>
  <c r="X9" i="90" s="1"/>
  <c r="Y9" i="90" s="1"/>
  <c r="Z9" i="90" s="1"/>
  <c r="Q9" i="90" s="1"/>
  <c r="P9" i="90"/>
  <c r="R9" i="90" s="1"/>
  <c r="U10" i="90"/>
  <c r="X10" i="90" s="1"/>
  <c r="Y10" i="90" s="1"/>
  <c r="Z10" i="90" s="1"/>
  <c r="Q10" i="90" s="1"/>
  <c r="P10" i="90"/>
  <c r="R10" i="90" s="1"/>
  <c r="U11" i="90"/>
  <c r="X11" i="90" s="1"/>
  <c r="Y11" i="90" s="1"/>
  <c r="Z11" i="90" s="1"/>
  <c r="Q11" i="90" s="1"/>
  <c r="P11" i="90"/>
  <c r="R11" i="90" s="1"/>
  <c r="U12" i="90"/>
  <c r="X12" i="90" s="1"/>
  <c r="Y12" i="90" s="1"/>
  <c r="Z12" i="90" s="1"/>
  <c r="Q12" i="90" s="1"/>
  <c r="P12" i="90"/>
  <c r="R12" i="90" s="1"/>
  <c r="G12" i="90"/>
  <c r="G13" i="90" s="1"/>
  <c r="G14" i="90" s="1"/>
  <c r="G15" i="90" s="1"/>
  <c r="G16" i="90" s="1"/>
  <c r="G17" i="90" s="1"/>
  <c r="G18" i="90" s="1"/>
  <c r="G19" i="90" s="1"/>
  <c r="G20" i="90" s="1"/>
  <c r="G21" i="90" s="1"/>
  <c r="G22" i="90" s="1"/>
  <c r="G23" i="90" s="1"/>
  <c r="G24" i="90" s="1"/>
  <c r="X27" i="90"/>
  <c r="W32" i="90"/>
  <c r="G25" i="90" l="1"/>
  <c r="S12" i="90"/>
  <c r="S11" i="90"/>
  <c r="S10" i="90"/>
  <c r="S9" i="90"/>
  <c r="S8" i="90"/>
  <c r="S7" i="90"/>
  <c r="S6" i="90"/>
  <c r="S5" i="90"/>
  <c r="S4" i="90"/>
  <c r="F31" i="90"/>
  <c r="F36" i="89" l="1"/>
  <c r="G33" i="89"/>
  <c r="W31" i="89"/>
  <c r="W30" i="89"/>
  <c r="W27" i="89"/>
  <c r="C27" i="89"/>
  <c r="E26" i="89"/>
  <c r="E27" i="89" s="1"/>
  <c r="F27" i="89" s="1"/>
  <c r="F25" i="89"/>
  <c r="W24" i="89"/>
  <c r="F23" i="89"/>
  <c r="W22" i="89"/>
  <c r="F20" i="89"/>
  <c r="F19" i="89"/>
  <c r="F16" i="89"/>
  <c r="F15" i="89"/>
  <c r="W12" i="89"/>
  <c r="V12" i="89"/>
  <c r="M12" i="89"/>
  <c r="N12" i="89" s="1"/>
  <c r="I12" i="89"/>
  <c r="F12" i="89"/>
  <c r="W11" i="89"/>
  <c r="V11" i="89"/>
  <c r="M11" i="89"/>
  <c r="N11" i="89" s="1"/>
  <c r="I11" i="89"/>
  <c r="F11" i="89"/>
  <c r="W10" i="89"/>
  <c r="V10" i="89"/>
  <c r="M10" i="89"/>
  <c r="N10" i="89" s="1"/>
  <c r="I10" i="89"/>
  <c r="W9" i="89"/>
  <c r="V9" i="89"/>
  <c r="M9" i="89"/>
  <c r="N9" i="89" s="1"/>
  <c r="I9" i="89"/>
  <c r="W8" i="89"/>
  <c r="V8" i="89"/>
  <c r="M8" i="89"/>
  <c r="N8" i="89" s="1"/>
  <c r="I8" i="89"/>
  <c r="W7" i="89"/>
  <c r="V7" i="89"/>
  <c r="M7" i="89"/>
  <c r="N7" i="89" s="1"/>
  <c r="I7" i="89"/>
  <c r="W6" i="89"/>
  <c r="V6" i="89"/>
  <c r="M6" i="89"/>
  <c r="N6" i="89" s="1"/>
  <c r="I6" i="89"/>
  <c r="AE5" i="89"/>
  <c r="W5" i="89"/>
  <c r="V5" i="89"/>
  <c r="M5" i="89"/>
  <c r="N5" i="89" s="1"/>
  <c r="I5" i="89"/>
  <c r="W4" i="89"/>
  <c r="V4" i="89"/>
  <c r="M4" i="89"/>
  <c r="N4" i="89" s="1"/>
  <c r="I4" i="89"/>
  <c r="F13" i="89" l="1"/>
  <c r="F26" i="89" s="1"/>
  <c r="F17" i="89"/>
  <c r="F21" i="89"/>
  <c r="F24" i="89"/>
  <c r="F14" i="89"/>
  <c r="F18" i="89"/>
  <c r="F22" i="89"/>
  <c r="F26" i="156"/>
  <c r="J26" i="156" s="1"/>
  <c r="V36" i="89"/>
  <c r="W33" i="89"/>
  <c r="U4" i="89"/>
  <c r="X4" i="89" s="1"/>
  <c r="Y4" i="89" s="1"/>
  <c r="Z4" i="89" s="1"/>
  <c r="Q4" i="89" s="1"/>
  <c r="P4" i="89"/>
  <c r="R4" i="89" s="1"/>
  <c r="U5" i="89"/>
  <c r="X5" i="89" s="1"/>
  <c r="Y5" i="89" s="1"/>
  <c r="Z5" i="89" s="1"/>
  <c r="Q5" i="89" s="1"/>
  <c r="P5" i="89"/>
  <c r="R5" i="89" s="1"/>
  <c r="U6" i="89"/>
  <c r="X6" i="89" s="1"/>
  <c r="Y6" i="89" s="1"/>
  <c r="Z6" i="89" s="1"/>
  <c r="Q6" i="89" s="1"/>
  <c r="P6" i="89"/>
  <c r="R6" i="89" s="1"/>
  <c r="U7" i="89"/>
  <c r="X7" i="89" s="1"/>
  <c r="Y7" i="89" s="1"/>
  <c r="Z7" i="89" s="1"/>
  <c r="Q7" i="89" s="1"/>
  <c r="P7" i="89"/>
  <c r="R7" i="89" s="1"/>
  <c r="U8" i="89"/>
  <c r="X8" i="89" s="1"/>
  <c r="Y8" i="89" s="1"/>
  <c r="Z8" i="89" s="1"/>
  <c r="Q8" i="89" s="1"/>
  <c r="P8" i="89"/>
  <c r="R8" i="89" s="1"/>
  <c r="U9" i="89"/>
  <c r="X9" i="89" s="1"/>
  <c r="Y9" i="89" s="1"/>
  <c r="Z9" i="89" s="1"/>
  <c r="Q9" i="89" s="1"/>
  <c r="P9" i="89"/>
  <c r="R9" i="89" s="1"/>
  <c r="U10" i="89"/>
  <c r="X10" i="89" s="1"/>
  <c r="Y10" i="89" s="1"/>
  <c r="Z10" i="89" s="1"/>
  <c r="Q10" i="89" s="1"/>
  <c r="P10" i="89"/>
  <c r="R10" i="89" s="1"/>
  <c r="U11" i="89"/>
  <c r="X11" i="89" s="1"/>
  <c r="Y11" i="89" s="1"/>
  <c r="Z11" i="89" s="1"/>
  <c r="Q11" i="89" s="1"/>
  <c r="P11" i="89"/>
  <c r="R11" i="89" s="1"/>
  <c r="U12" i="89"/>
  <c r="X12" i="89" s="1"/>
  <c r="Y12" i="89" s="1"/>
  <c r="Z12" i="89" s="1"/>
  <c r="Q12" i="89" s="1"/>
  <c r="P12" i="89"/>
  <c r="R12" i="89" s="1"/>
  <c r="G12" i="89"/>
  <c r="G13" i="89" s="1"/>
  <c r="G14" i="89" s="1"/>
  <c r="G15" i="89" s="1"/>
  <c r="G16" i="89" s="1"/>
  <c r="G17" i="89" s="1"/>
  <c r="G18" i="89" s="1"/>
  <c r="G19" i="89" s="1"/>
  <c r="G20" i="89" s="1"/>
  <c r="G21" i="89" s="1"/>
  <c r="G22" i="89" s="1"/>
  <c r="G23" i="89" s="1"/>
  <c r="G24" i="89" s="1"/>
  <c r="X27" i="89"/>
  <c r="W32" i="89"/>
  <c r="G25" i="89" l="1"/>
  <c r="S12" i="89"/>
  <c r="S11" i="89"/>
  <c r="S10" i="89"/>
  <c r="S9" i="89"/>
  <c r="S8" i="89"/>
  <c r="S7" i="89"/>
  <c r="S6" i="89"/>
  <c r="S5" i="89"/>
  <c r="S4" i="89"/>
  <c r="F31" i="89"/>
  <c r="F36" i="88" l="1"/>
  <c r="G33" i="88"/>
  <c r="W31" i="88"/>
  <c r="W30" i="88"/>
  <c r="W27" i="88"/>
  <c r="C27" i="88"/>
  <c r="E26" i="88"/>
  <c r="E27" i="88" s="1"/>
  <c r="F27" i="88" s="1"/>
  <c r="F25" i="88"/>
  <c r="W24" i="88"/>
  <c r="F25" i="156" s="1"/>
  <c r="J25" i="156" s="1"/>
  <c r="F23" i="88"/>
  <c r="W22" i="88"/>
  <c r="F20" i="88"/>
  <c r="F19" i="88"/>
  <c r="F16" i="88"/>
  <c r="F15" i="88"/>
  <c r="W12" i="88"/>
  <c r="V12" i="88"/>
  <c r="M12" i="88"/>
  <c r="N12" i="88" s="1"/>
  <c r="I12" i="88"/>
  <c r="F12" i="88"/>
  <c r="W11" i="88"/>
  <c r="V11" i="88"/>
  <c r="M11" i="88"/>
  <c r="N11" i="88" s="1"/>
  <c r="I11" i="88"/>
  <c r="F11" i="88"/>
  <c r="W10" i="88"/>
  <c r="V10" i="88"/>
  <c r="M10" i="88"/>
  <c r="N10" i="88" s="1"/>
  <c r="I10" i="88"/>
  <c r="W9" i="88"/>
  <c r="V9" i="88"/>
  <c r="M9" i="88"/>
  <c r="N9" i="88" s="1"/>
  <c r="I9" i="88"/>
  <c r="W8" i="88"/>
  <c r="V8" i="88"/>
  <c r="M8" i="88"/>
  <c r="N8" i="88" s="1"/>
  <c r="I8" i="88"/>
  <c r="W7" i="88"/>
  <c r="V7" i="88"/>
  <c r="M7" i="88"/>
  <c r="N7" i="88" s="1"/>
  <c r="I7" i="88"/>
  <c r="W6" i="88"/>
  <c r="V6" i="88"/>
  <c r="M6" i="88"/>
  <c r="N6" i="88" s="1"/>
  <c r="I6" i="88"/>
  <c r="AE5" i="88"/>
  <c r="W5" i="88"/>
  <c r="V5" i="88"/>
  <c r="M5" i="88"/>
  <c r="N5" i="88" s="1"/>
  <c r="I5" i="88"/>
  <c r="W4" i="88"/>
  <c r="V4" i="88"/>
  <c r="M4" i="88"/>
  <c r="N4" i="88" s="1"/>
  <c r="I4" i="88"/>
  <c r="F13" i="88" l="1"/>
  <c r="F26" i="88" s="1"/>
  <c r="F17" i="88"/>
  <c r="F21" i="88"/>
  <c r="F24" i="88"/>
  <c r="F14" i="88"/>
  <c r="F18" i="88"/>
  <c r="F22" i="88"/>
  <c r="V36" i="88"/>
  <c r="W33" i="88"/>
  <c r="U4" i="88"/>
  <c r="X4" i="88" s="1"/>
  <c r="Y4" i="88" s="1"/>
  <c r="Z4" i="88" s="1"/>
  <c r="Q4" i="88" s="1"/>
  <c r="P4" i="88"/>
  <c r="R4" i="88" s="1"/>
  <c r="U5" i="88"/>
  <c r="X5" i="88" s="1"/>
  <c r="Y5" i="88" s="1"/>
  <c r="Z5" i="88" s="1"/>
  <c r="Q5" i="88" s="1"/>
  <c r="P5" i="88"/>
  <c r="R5" i="88" s="1"/>
  <c r="U6" i="88"/>
  <c r="X6" i="88" s="1"/>
  <c r="Y6" i="88" s="1"/>
  <c r="Z6" i="88" s="1"/>
  <c r="Q6" i="88" s="1"/>
  <c r="P6" i="88"/>
  <c r="R6" i="88" s="1"/>
  <c r="U7" i="88"/>
  <c r="X7" i="88" s="1"/>
  <c r="Y7" i="88" s="1"/>
  <c r="Z7" i="88" s="1"/>
  <c r="Q7" i="88" s="1"/>
  <c r="P7" i="88"/>
  <c r="R7" i="88" s="1"/>
  <c r="U8" i="88"/>
  <c r="X8" i="88" s="1"/>
  <c r="Y8" i="88" s="1"/>
  <c r="Z8" i="88" s="1"/>
  <c r="Q8" i="88" s="1"/>
  <c r="P8" i="88"/>
  <c r="R8" i="88" s="1"/>
  <c r="U9" i="88"/>
  <c r="X9" i="88" s="1"/>
  <c r="Y9" i="88" s="1"/>
  <c r="Z9" i="88" s="1"/>
  <c r="Q9" i="88" s="1"/>
  <c r="P9" i="88"/>
  <c r="R9" i="88" s="1"/>
  <c r="U10" i="88"/>
  <c r="X10" i="88" s="1"/>
  <c r="Y10" i="88" s="1"/>
  <c r="Z10" i="88" s="1"/>
  <c r="Q10" i="88" s="1"/>
  <c r="P10" i="88"/>
  <c r="R10" i="88" s="1"/>
  <c r="U11" i="88"/>
  <c r="X11" i="88" s="1"/>
  <c r="Y11" i="88" s="1"/>
  <c r="Z11" i="88" s="1"/>
  <c r="Q11" i="88" s="1"/>
  <c r="P11" i="88"/>
  <c r="R11" i="88" s="1"/>
  <c r="U12" i="88"/>
  <c r="X12" i="88" s="1"/>
  <c r="Y12" i="88" s="1"/>
  <c r="Z12" i="88" s="1"/>
  <c r="Q12" i="88" s="1"/>
  <c r="P12" i="88"/>
  <c r="R12" i="88" s="1"/>
  <c r="G12" i="88"/>
  <c r="G13" i="88" s="1"/>
  <c r="X27" i="88"/>
  <c r="W32" i="88"/>
  <c r="G14" i="88" l="1"/>
  <c r="G15" i="88" s="1"/>
  <c r="G16" i="88" s="1"/>
  <c r="G17" i="88" s="1"/>
  <c r="G18" i="88" s="1"/>
  <c r="G19" i="88" s="1"/>
  <c r="G20" i="88" s="1"/>
  <c r="G21" i="88" s="1"/>
  <c r="G22" i="88" s="1"/>
  <c r="G23" i="88" s="1"/>
  <c r="G24" i="88" s="1"/>
  <c r="G25" i="88" s="1"/>
  <c r="S10" i="88"/>
  <c r="S6" i="88"/>
  <c r="F31" i="88" l="1"/>
  <c r="S7" i="88"/>
  <c r="S11" i="88"/>
  <c r="S4" i="88"/>
  <c r="S8" i="88"/>
  <c r="S12" i="88"/>
  <c r="S5" i="88"/>
  <c r="S9" i="88"/>
  <c r="F36" i="87"/>
  <c r="G33" i="87"/>
  <c r="W31" i="87"/>
  <c r="W30" i="87"/>
  <c r="W27" i="87"/>
  <c r="C27" i="87"/>
  <c r="E26" i="87"/>
  <c r="E27" i="87" s="1"/>
  <c r="F27" i="87" s="1"/>
  <c r="F25" i="87"/>
  <c r="W24" i="87"/>
  <c r="F23" i="87"/>
  <c r="W22" i="87"/>
  <c r="F20" i="87"/>
  <c r="F19" i="87"/>
  <c r="F16" i="87"/>
  <c r="F15" i="87"/>
  <c r="W12" i="87"/>
  <c r="V12" i="87"/>
  <c r="M12" i="87"/>
  <c r="N12" i="87" s="1"/>
  <c r="I12" i="87"/>
  <c r="F12" i="87"/>
  <c r="W11" i="87"/>
  <c r="V11" i="87"/>
  <c r="M11" i="87"/>
  <c r="N11" i="87" s="1"/>
  <c r="I11" i="87"/>
  <c r="F11" i="87"/>
  <c r="W10" i="87"/>
  <c r="V10" i="87"/>
  <c r="M10" i="87"/>
  <c r="N10" i="87" s="1"/>
  <c r="I10" i="87"/>
  <c r="W9" i="87"/>
  <c r="V9" i="87"/>
  <c r="M9" i="87"/>
  <c r="N9" i="87" s="1"/>
  <c r="I9" i="87"/>
  <c r="W8" i="87"/>
  <c r="V8" i="87"/>
  <c r="M8" i="87"/>
  <c r="N8" i="87" s="1"/>
  <c r="I8" i="87"/>
  <c r="W7" i="87"/>
  <c r="V7" i="87"/>
  <c r="M7" i="87"/>
  <c r="N7" i="87" s="1"/>
  <c r="I7" i="87"/>
  <c r="W6" i="87"/>
  <c r="V6" i="87"/>
  <c r="M6" i="87"/>
  <c r="N6" i="87" s="1"/>
  <c r="I6" i="87"/>
  <c r="AE5" i="87"/>
  <c r="W5" i="87"/>
  <c r="V5" i="87"/>
  <c r="M5" i="87"/>
  <c r="N5" i="87" s="1"/>
  <c r="I5" i="87"/>
  <c r="W4" i="87"/>
  <c r="V4" i="87"/>
  <c r="M4" i="87"/>
  <c r="N4" i="87" s="1"/>
  <c r="I4" i="87"/>
  <c r="W33" i="87" l="1"/>
  <c r="F13" i="87"/>
  <c r="F26" i="87" s="1"/>
  <c r="F17" i="87"/>
  <c r="F21" i="87"/>
  <c r="F24" i="87"/>
  <c r="F14" i="87"/>
  <c r="F18" i="87"/>
  <c r="F22" i="87"/>
  <c r="F24" i="156"/>
  <c r="J24" i="156" s="1"/>
  <c r="V36" i="87"/>
  <c r="U4" i="87"/>
  <c r="X4" i="87" s="1"/>
  <c r="Y4" i="87" s="1"/>
  <c r="Z4" i="87" s="1"/>
  <c r="Q4" i="87" s="1"/>
  <c r="P4" i="87"/>
  <c r="R4" i="87" s="1"/>
  <c r="U5" i="87"/>
  <c r="X5" i="87" s="1"/>
  <c r="Y5" i="87" s="1"/>
  <c r="Z5" i="87" s="1"/>
  <c r="Q5" i="87" s="1"/>
  <c r="P5" i="87"/>
  <c r="R5" i="87" s="1"/>
  <c r="U6" i="87"/>
  <c r="X6" i="87" s="1"/>
  <c r="Y6" i="87" s="1"/>
  <c r="Z6" i="87" s="1"/>
  <c r="Q6" i="87" s="1"/>
  <c r="P6" i="87"/>
  <c r="R6" i="87" s="1"/>
  <c r="U7" i="87"/>
  <c r="X7" i="87" s="1"/>
  <c r="Y7" i="87" s="1"/>
  <c r="Z7" i="87" s="1"/>
  <c r="Q7" i="87" s="1"/>
  <c r="P7" i="87"/>
  <c r="R7" i="87" s="1"/>
  <c r="U8" i="87"/>
  <c r="X8" i="87" s="1"/>
  <c r="Y8" i="87" s="1"/>
  <c r="Z8" i="87" s="1"/>
  <c r="Q8" i="87" s="1"/>
  <c r="P8" i="87"/>
  <c r="R8" i="87" s="1"/>
  <c r="U9" i="87"/>
  <c r="X9" i="87" s="1"/>
  <c r="Y9" i="87" s="1"/>
  <c r="Z9" i="87" s="1"/>
  <c r="Q9" i="87" s="1"/>
  <c r="P9" i="87"/>
  <c r="R9" i="87" s="1"/>
  <c r="U10" i="87"/>
  <c r="X10" i="87" s="1"/>
  <c r="Y10" i="87" s="1"/>
  <c r="Z10" i="87" s="1"/>
  <c r="Q10" i="87" s="1"/>
  <c r="P10" i="87"/>
  <c r="R10" i="87" s="1"/>
  <c r="U11" i="87"/>
  <c r="X11" i="87" s="1"/>
  <c r="Y11" i="87" s="1"/>
  <c r="Z11" i="87" s="1"/>
  <c r="Q11" i="87" s="1"/>
  <c r="P11" i="87"/>
  <c r="R11" i="87" s="1"/>
  <c r="U12" i="87"/>
  <c r="X12" i="87" s="1"/>
  <c r="Y12" i="87" s="1"/>
  <c r="Z12" i="87" s="1"/>
  <c r="Q12" i="87" s="1"/>
  <c r="P12" i="87"/>
  <c r="R12" i="87" s="1"/>
  <c r="G12" i="87"/>
  <c r="G13" i="87" s="1"/>
  <c r="G14" i="87" s="1"/>
  <c r="G15" i="87" s="1"/>
  <c r="G16" i="87" s="1"/>
  <c r="G17" i="87" s="1"/>
  <c r="G18" i="87" s="1"/>
  <c r="G19" i="87" s="1"/>
  <c r="G20" i="87" s="1"/>
  <c r="G21" i="87" s="1"/>
  <c r="G22" i="87" s="1"/>
  <c r="G23" i="87" s="1"/>
  <c r="G24" i="87" s="1"/>
  <c r="X27" i="87"/>
  <c r="W32" i="87"/>
  <c r="G25" i="87" l="1"/>
  <c r="S12" i="87"/>
  <c r="S11" i="87"/>
  <c r="S10" i="87"/>
  <c r="S9" i="87"/>
  <c r="S8" i="87"/>
  <c r="S7" i="87"/>
  <c r="S6" i="87"/>
  <c r="S5" i="87"/>
  <c r="S4" i="87"/>
  <c r="F31" i="87"/>
  <c r="F36" i="86" l="1"/>
  <c r="G33" i="86"/>
  <c r="W31" i="86"/>
  <c r="W30" i="86"/>
  <c r="W27" i="86"/>
  <c r="G23" i="156" s="1"/>
  <c r="C27" i="86"/>
  <c r="E26" i="86"/>
  <c r="E27" i="86" s="1"/>
  <c r="F27" i="86" s="1"/>
  <c r="F25" i="86"/>
  <c r="W24" i="86"/>
  <c r="F23" i="156" s="1"/>
  <c r="J23" i="156" s="1"/>
  <c r="F23" i="86"/>
  <c r="W22" i="86"/>
  <c r="F22" i="86"/>
  <c r="F20" i="86"/>
  <c r="F19" i="86"/>
  <c r="F18" i="86"/>
  <c r="F16" i="86"/>
  <c r="F15" i="86"/>
  <c r="F14" i="86"/>
  <c r="W12" i="86"/>
  <c r="V12" i="86"/>
  <c r="M12" i="86"/>
  <c r="N12" i="86" s="1"/>
  <c r="I12" i="86"/>
  <c r="F12" i="86"/>
  <c r="W11" i="86"/>
  <c r="V11" i="86"/>
  <c r="M11" i="86"/>
  <c r="N11" i="86" s="1"/>
  <c r="I11" i="86"/>
  <c r="F11" i="86"/>
  <c r="W10" i="86"/>
  <c r="V10" i="86"/>
  <c r="M10" i="86"/>
  <c r="N10" i="86" s="1"/>
  <c r="I10" i="86"/>
  <c r="W9" i="86"/>
  <c r="V9" i="86"/>
  <c r="M9" i="86"/>
  <c r="N9" i="86" s="1"/>
  <c r="I9" i="86"/>
  <c r="W8" i="86"/>
  <c r="V8" i="86"/>
  <c r="M8" i="86"/>
  <c r="N8" i="86" s="1"/>
  <c r="I8" i="86"/>
  <c r="W7" i="86"/>
  <c r="V7" i="86"/>
  <c r="M7" i="86"/>
  <c r="N7" i="86" s="1"/>
  <c r="I7" i="86"/>
  <c r="W6" i="86"/>
  <c r="V6" i="86"/>
  <c r="M6" i="86"/>
  <c r="N6" i="86" s="1"/>
  <c r="I6" i="86"/>
  <c r="AE5" i="86"/>
  <c r="W5" i="86"/>
  <c r="V5" i="86"/>
  <c r="M5" i="86"/>
  <c r="N5" i="86" s="1"/>
  <c r="I5" i="86"/>
  <c r="W4" i="86"/>
  <c r="V4" i="86"/>
  <c r="M4" i="86"/>
  <c r="N4" i="86" s="1"/>
  <c r="I4" i="86"/>
  <c r="F13" i="86" l="1"/>
  <c r="F26" i="86" s="1"/>
  <c r="F17" i="86"/>
  <c r="F21" i="86"/>
  <c r="F24" i="86"/>
  <c r="V36" i="86"/>
  <c r="W33" i="86"/>
  <c r="U4" i="86"/>
  <c r="X4" i="86" s="1"/>
  <c r="Y4" i="86" s="1"/>
  <c r="Z4" i="86" s="1"/>
  <c r="Q4" i="86" s="1"/>
  <c r="P4" i="86"/>
  <c r="R4" i="86" s="1"/>
  <c r="U5" i="86"/>
  <c r="X5" i="86" s="1"/>
  <c r="Y5" i="86" s="1"/>
  <c r="Z5" i="86" s="1"/>
  <c r="Q5" i="86" s="1"/>
  <c r="P5" i="86"/>
  <c r="R5" i="86" s="1"/>
  <c r="U6" i="86"/>
  <c r="X6" i="86" s="1"/>
  <c r="Y6" i="86" s="1"/>
  <c r="Z6" i="86" s="1"/>
  <c r="Q6" i="86" s="1"/>
  <c r="P6" i="86"/>
  <c r="R6" i="86" s="1"/>
  <c r="U7" i="86"/>
  <c r="X7" i="86" s="1"/>
  <c r="Y7" i="86" s="1"/>
  <c r="Z7" i="86" s="1"/>
  <c r="Q7" i="86" s="1"/>
  <c r="P7" i="86"/>
  <c r="R7" i="86" s="1"/>
  <c r="U8" i="86"/>
  <c r="X8" i="86" s="1"/>
  <c r="Y8" i="86" s="1"/>
  <c r="Z8" i="86" s="1"/>
  <c r="Q8" i="86" s="1"/>
  <c r="P8" i="86"/>
  <c r="R8" i="86" s="1"/>
  <c r="U9" i="86"/>
  <c r="X9" i="86" s="1"/>
  <c r="Y9" i="86" s="1"/>
  <c r="Z9" i="86" s="1"/>
  <c r="Q9" i="86" s="1"/>
  <c r="P9" i="86"/>
  <c r="R9" i="86" s="1"/>
  <c r="U10" i="86"/>
  <c r="X10" i="86" s="1"/>
  <c r="Y10" i="86" s="1"/>
  <c r="Z10" i="86" s="1"/>
  <c r="Q10" i="86" s="1"/>
  <c r="P10" i="86"/>
  <c r="R10" i="86" s="1"/>
  <c r="U11" i="86"/>
  <c r="X11" i="86" s="1"/>
  <c r="Y11" i="86" s="1"/>
  <c r="Z11" i="86" s="1"/>
  <c r="Q11" i="86" s="1"/>
  <c r="P11" i="86"/>
  <c r="R11" i="86" s="1"/>
  <c r="U12" i="86"/>
  <c r="X12" i="86" s="1"/>
  <c r="Y12" i="86" s="1"/>
  <c r="Z12" i="86" s="1"/>
  <c r="Q12" i="86" s="1"/>
  <c r="P12" i="86"/>
  <c r="R12" i="86" s="1"/>
  <c r="G12" i="86"/>
  <c r="G13" i="86" s="1"/>
  <c r="G14" i="86" s="1"/>
  <c r="G15" i="86" s="1"/>
  <c r="G16" i="86" s="1"/>
  <c r="G17" i="86" s="1"/>
  <c r="G18" i="86" s="1"/>
  <c r="G19" i="86" s="1"/>
  <c r="G20" i="86" s="1"/>
  <c r="G21" i="86" s="1"/>
  <c r="G22" i="86" s="1"/>
  <c r="G23" i="86" s="1"/>
  <c r="G24" i="86" s="1"/>
  <c r="X27" i="86"/>
  <c r="W32" i="86"/>
  <c r="G25" i="86" l="1"/>
  <c r="S12" i="86"/>
  <c r="S11" i="86"/>
  <c r="S10" i="86"/>
  <c r="S9" i="86"/>
  <c r="S8" i="86"/>
  <c r="S7" i="86"/>
  <c r="S6" i="86"/>
  <c r="S5" i="86"/>
  <c r="S4" i="86"/>
  <c r="F31" i="86"/>
  <c r="F36" i="85" l="1"/>
  <c r="G33" i="85"/>
  <c r="W31" i="85"/>
  <c r="W30" i="85"/>
  <c r="W27" i="85"/>
  <c r="C27" i="85"/>
  <c r="E26" i="85"/>
  <c r="E27" i="85" s="1"/>
  <c r="F27" i="85" s="1"/>
  <c r="F25" i="85"/>
  <c r="W24" i="85"/>
  <c r="F23" i="85"/>
  <c r="W22" i="85"/>
  <c r="F20" i="85"/>
  <c r="F19" i="85"/>
  <c r="F16" i="85"/>
  <c r="F15" i="85"/>
  <c r="W12" i="85"/>
  <c r="V12" i="85"/>
  <c r="M12" i="85"/>
  <c r="N12" i="85" s="1"/>
  <c r="I12" i="85"/>
  <c r="F12" i="85"/>
  <c r="W11" i="85"/>
  <c r="V11" i="85"/>
  <c r="M11" i="85"/>
  <c r="N11" i="85" s="1"/>
  <c r="I11" i="85"/>
  <c r="F11" i="85"/>
  <c r="W10" i="85"/>
  <c r="V10" i="85"/>
  <c r="M10" i="85"/>
  <c r="N10" i="85" s="1"/>
  <c r="I10" i="85"/>
  <c r="W9" i="85"/>
  <c r="V9" i="85"/>
  <c r="M9" i="85"/>
  <c r="N9" i="85" s="1"/>
  <c r="I9" i="85"/>
  <c r="W8" i="85"/>
  <c r="V8" i="85"/>
  <c r="M8" i="85"/>
  <c r="N8" i="85" s="1"/>
  <c r="I8" i="85"/>
  <c r="W7" i="85"/>
  <c r="V7" i="85"/>
  <c r="M7" i="85"/>
  <c r="N7" i="85" s="1"/>
  <c r="I7" i="85"/>
  <c r="W6" i="85"/>
  <c r="V6" i="85"/>
  <c r="M6" i="85"/>
  <c r="N6" i="85" s="1"/>
  <c r="I6" i="85"/>
  <c r="AE5" i="85"/>
  <c r="W5" i="85"/>
  <c r="V5" i="85"/>
  <c r="M5" i="85"/>
  <c r="N5" i="85" s="1"/>
  <c r="I5" i="85"/>
  <c r="W4" i="85"/>
  <c r="V4" i="85"/>
  <c r="M4" i="85"/>
  <c r="N4" i="85" s="1"/>
  <c r="I4" i="85"/>
  <c r="F13" i="85" l="1"/>
  <c r="F26" i="85" s="1"/>
  <c r="F17" i="85"/>
  <c r="F21" i="85"/>
  <c r="F24" i="85"/>
  <c r="F14" i="85"/>
  <c r="F18" i="85"/>
  <c r="F22" i="85"/>
  <c r="F22" i="156"/>
  <c r="J22" i="156" s="1"/>
  <c r="V36" i="85"/>
  <c r="W33" i="85"/>
  <c r="U4" i="85"/>
  <c r="X4" i="85" s="1"/>
  <c r="Y4" i="85" s="1"/>
  <c r="Z4" i="85" s="1"/>
  <c r="Q4" i="85" s="1"/>
  <c r="P4" i="85"/>
  <c r="R4" i="85" s="1"/>
  <c r="U5" i="85"/>
  <c r="X5" i="85" s="1"/>
  <c r="Y5" i="85" s="1"/>
  <c r="Z5" i="85" s="1"/>
  <c r="Q5" i="85" s="1"/>
  <c r="P5" i="85"/>
  <c r="R5" i="85" s="1"/>
  <c r="U6" i="85"/>
  <c r="X6" i="85" s="1"/>
  <c r="Y6" i="85" s="1"/>
  <c r="Z6" i="85" s="1"/>
  <c r="Q6" i="85" s="1"/>
  <c r="P6" i="85"/>
  <c r="R6" i="85" s="1"/>
  <c r="U7" i="85"/>
  <c r="X7" i="85" s="1"/>
  <c r="Y7" i="85" s="1"/>
  <c r="Z7" i="85" s="1"/>
  <c r="Q7" i="85" s="1"/>
  <c r="P7" i="85"/>
  <c r="R7" i="85" s="1"/>
  <c r="U8" i="85"/>
  <c r="X8" i="85" s="1"/>
  <c r="Y8" i="85" s="1"/>
  <c r="Z8" i="85" s="1"/>
  <c r="Q8" i="85" s="1"/>
  <c r="P8" i="85"/>
  <c r="R8" i="85" s="1"/>
  <c r="U9" i="85"/>
  <c r="X9" i="85" s="1"/>
  <c r="Y9" i="85" s="1"/>
  <c r="Z9" i="85" s="1"/>
  <c r="Q9" i="85" s="1"/>
  <c r="P9" i="85"/>
  <c r="R9" i="85" s="1"/>
  <c r="U10" i="85"/>
  <c r="X10" i="85" s="1"/>
  <c r="Y10" i="85" s="1"/>
  <c r="Z10" i="85" s="1"/>
  <c r="Q10" i="85" s="1"/>
  <c r="P10" i="85"/>
  <c r="R10" i="85" s="1"/>
  <c r="U11" i="85"/>
  <c r="X11" i="85" s="1"/>
  <c r="Y11" i="85" s="1"/>
  <c r="Z11" i="85" s="1"/>
  <c r="Q11" i="85" s="1"/>
  <c r="P11" i="85"/>
  <c r="R11" i="85" s="1"/>
  <c r="U12" i="85"/>
  <c r="X12" i="85" s="1"/>
  <c r="Y12" i="85" s="1"/>
  <c r="Z12" i="85" s="1"/>
  <c r="Q12" i="85" s="1"/>
  <c r="P12" i="85"/>
  <c r="R12" i="85" s="1"/>
  <c r="G12" i="85"/>
  <c r="G13" i="85" s="1"/>
  <c r="G14" i="85" s="1"/>
  <c r="G15" i="85" s="1"/>
  <c r="G16" i="85" s="1"/>
  <c r="G17" i="85" s="1"/>
  <c r="G18" i="85" s="1"/>
  <c r="G19" i="85" s="1"/>
  <c r="G20" i="85" s="1"/>
  <c r="G21" i="85" s="1"/>
  <c r="G22" i="85" s="1"/>
  <c r="G23" i="85" s="1"/>
  <c r="G24" i="85" s="1"/>
  <c r="X27" i="85"/>
  <c r="W32" i="85"/>
  <c r="G25" i="85" l="1"/>
  <c r="S12" i="85"/>
  <c r="S11" i="85"/>
  <c r="S10" i="85"/>
  <c r="S9" i="85"/>
  <c r="S8" i="85"/>
  <c r="S7" i="85"/>
  <c r="S6" i="85"/>
  <c r="S5" i="85"/>
  <c r="S4" i="85"/>
  <c r="F31" i="85"/>
  <c r="F36" i="84" l="1"/>
  <c r="G33" i="84"/>
  <c r="W31" i="84"/>
  <c r="W30" i="84"/>
  <c r="W27" i="84"/>
  <c r="C27" i="84"/>
  <c r="E26" i="84"/>
  <c r="E27" i="84" s="1"/>
  <c r="F27" i="84" s="1"/>
  <c r="F25" i="84"/>
  <c r="W24" i="84"/>
  <c r="F24" i="84"/>
  <c r="F23" i="84"/>
  <c r="W22" i="84"/>
  <c r="F21" i="84"/>
  <c r="F20" i="84"/>
  <c r="F19" i="84"/>
  <c r="F17" i="84"/>
  <c r="F16" i="84"/>
  <c r="F15" i="84"/>
  <c r="F13" i="84"/>
  <c r="W12" i="84"/>
  <c r="V12" i="84"/>
  <c r="M12" i="84"/>
  <c r="I12" i="84"/>
  <c r="F12" i="84"/>
  <c r="W11" i="84"/>
  <c r="V11" i="84"/>
  <c r="M11" i="84"/>
  <c r="N11" i="84" s="1"/>
  <c r="I11" i="84"/>
  <c r="F11" i="84"/>
  <c r="W10" i="84"/>
  <c r="V10" i="84"/>
  <c r="M10" i="84"/>
  <c r="N10" i="84" s="1"/>
  <c r="I10" i="84"/>
  <c r="W9" i="84"/>
  <c r="V9" i="84"/>
  <c r="M9" i="84"/>
  <c r="N9" i="84" s="1"/>
  <c r="I9" i="84"/>
  <c r="W8" i="84"/>
  <c r="V8" i="84"/>
  <c r="M8" i="84"/>
  <c r="N8" i="84" s="1"/>
  <c r="I8" i="84"/>
  <c r="W7" i="84"/>
  <c r="V7" i="84"/>
  <c r="M7" i="84"/>
  <c r="N7" i="84" s="1"/>
  <c r="I7" i="84"/>
  <c r="W6" i="84"/>
  <c r="V6" i="84"/>
  <c r="M6" i="84"/>
  <c r="N6" i="84" s="1"/>
  <c r="I6" i="84"/>
  <c r="AE5" i="84"/>
  <c r="W5" i="84"/>
  <c r="V5" i="84"/>
  <c r="M5" i="84"/>
  <c r="N5" i="84" s="1"/>
  <c r="I5" i="84"/>
  <c r="W4" i="84"/>
  <c r="V4" i="84"/>
  <c r="M4" i="84"/>
  <c r="N4" i="84" s="1"/>
  <c r="I4" i="84"/>
  <c r="N12" i="84" l="1"/>
  <c r="U12" i="84" s="1"/>
  <c r="X12" i="84" s="1"/>
  <c r="Y12" i="84" s="1"/>
  <c r="Z12" i="84" s="1"/>
  <c r="Q12" i="84" s="1"/>
  <c r="F14" i="84"/>
  <c r="F26" i="84" s="1"/>
  <c r="F18" i="84"/>
  <c r="F22" i="84"/>
  <c r="F21" i="156"/>
  <c r="J21" i="156" s="1"/>
  <c r="V36" i="84"/>
  <c r="W33" i="84"/>
  <c r="U4" i="84"/>
  <c r="X4" i="84" s="1"/>
  <c r="Y4" i="84" s="1"/>
  <c r="Z4" i="84" s="1"/>
  <c r="Q4" i="84" s="1"/>
  <c r="P4" i="84"/>
  <c r="R4" i="84" s="1"/>
  <c r="U5" i="84"/>
  <c r="X5" i="84" s="1"/>
  <c r="Y5" i="84" s="1"/>
  <c r="Z5" i="84" s="1"/>
  <c r="Q5" i="84" s="1"/>
  <c r="P5" i="84"/>
  <c r="R5" i="84" s="1"/>
  <c r="U6" i="84"/>
  <c r="X6" i="84" s="1"/>
  <c r="Y6" i="84" s="1"/>
  <c r="Z6" i="84" s="1"/>
  <c r="Q6" i="84" s="1"/>
  <c r="P6" i="84"/>
  <c r="R6" i="84" s="1"/>
  <c r="U7" i="84"/>
  <c r="X7" i="84" s="1"/>
  <c r="Y7" i="84" s="1"/>
  <c r="Z7" i="84" s="1"/>
  <c r="Q7" i="84" s="1"/>
  <c r="P7" i="84"/>
  <c r="R7" i="84" s="1"/>
  <c r="U8" i="84"/>
  <c r="X8" i="84" s="1"/>
  <c r="Y8" i="84" s="1"/>
  <c r="Z8" i="84" s="1"/>
  <c r="Q8" i="84" s="1"/>
  <c r="P8" i="84"/>
  <c r="R8" i="84" s="1"/>
  <c r="U9" i="84"/>
  <c r="X9" i="84" s="1"/>
  <c r="Y9" i="84" s="1"/>
  <c r="Z9" i="84" s="1"/>
  <c r="Q9" i="84" s="1"/>
  <c r="P9" i="84"/>
  <c r="R9" i="84" s="1"/>
  <c r="U10" i="84"/>
  <c r="X10" i="84" s="1"/>
  <c r="Y10" i="84" s="1"/>
  <c r="Z10" i="84" s="1"/>
  <c r="Q10" i="84" s="1"/>
  <c r="P10" i="84"/>
  <c r="R10" i="84" s="1"/>
  <c r="U11" i="84"/>
  <c r="X11" i="84" s="1"/>
  <c r="Y11" i="84" s="1"/>
  <c r="Z11" i="84" s="1"/>
  <c r="Q11" i="84" s="1"/>
  <c r="P11" i="84"/>
  <c r="R11" i="84" s="1"/>
  <c r="P12" i="84"/>
  <c r="R12" i="84" s="1"/>
  <c r="G12" i="84"/>
  <c r="G13" i="84" s="1"/>
  <c r="G14" i="84" s="1"/>
  <c r="G15" i="84" s="1"/>
  <c r="G16" i="84" s="1"/>
  <c r="G17" i="84" s="1"/>
  <c r="G18" i="84" s="1"/>
  <c r="G19" i="84" s="1"/>
  <c r="G20" i="84" s="1"/>
  <c r="G21" i="84" s="1"/>
  <c r="G22" i="84" s="1"/>
  <c r="G23" i="84" s="1"/>
  <c r="G24" i="84" s="1"/>
  <c r="X27" i="84"/>
  <c r="W32" i="84"/>
  <c r="G25" i="84" l="1"/>
  <c r="S12" i="84"/>
  <c r="S11" i="84"/>
  <c r="S10" i="84"/>
  <c r="S9" i="84"/>
  <c r="S8" i="84"/>
  <c r="S7" i="84"/>
  <c r="S6" i="84"/>
  <c r="S5" i="84"/>
  <c r="S4" i="84"/>
  <c r="F31" i="84"/>
  <c r="F36" i="83" l="1"/>
  <c r="G33" i="83"/>
  <c r="W31" i="83"/>
  <c r="W30" i="83"/>
  <c r="W27" i="83"/>
  <c r="C27" i="83"/>
  <c r="E26" i="83"/>
  <c r="E27" i="83" s="1"/>
  <c r="F27" i="83" s="1"/>
  <c r="F25" i="83"/>
  <c r="W24" i="83"/>
  <c r="F23" i="83"/>
  <c r="W22" i="83"/>
  <c r="F20" i="83"/>
  <c r="F19" i="83"/>
  <c r="F16" i="83"/>
  <c r="F15" i="83"/>
  <c r="W12" i="83"/>
  <c r="V12" i="83"/>
  <c r="M12" i="83"/>
  <c r="N12" i="83" s="1"/>
  <c r="I12" i="83"/>
  <c r="F12" i="83"/>
  <c r="W11" i="83"/>
  <c r="V11" i="83"/>
  <c r="M11" i="83"/>
  <c r="N11" i="83" s="1"/>
  <c r="I11" i="83"/>
  <c r="F11" i="83"/>
  <c r="W10" i="83"/>
  <c r="V10" i="83"/>
  <c r="M10" i="83"/>
  <c r="N10" i="83" s="1"/>
  <c r="I10" i="83"/>
  <c r="W9" i="83"/>
  <c r="V9" i="83"/>
  <c r="M9" i="83"/>
  <c r="N9" i="83" s="1"/>
  <c r="I9" i="83"/>
  <c r="W8" i="83"/>
  <c r="V8" i="83"/>
  <c r="M8" i="83"/>
  <c r="N8" i="83" s="1"/>
  <c r="I8" i="83"/>
  <c r="W7" i="83"/>
  <c r="V7" i="83"/>
  <c r="M7" i="83"/>
  <c r="N7" i="83" s="1"/>
  <c r="I7" i="83"/>
  <c r="W6" i="83"/>
  <c r="V6" i="83"/>
  <c r="M6" i="83"/>
  <c r="N6" i="83" s="1"/>
  <c r="I6" i="83"/>
  <c r="AE5" i="83"/>
  <c r="W5" i="83"/>
  <c r="V5" i="83"/>
  <c r="M5" i="83"/>
  <c r="N5" i="83" s="1"/>
  <c r="I5" i="83"/>
  <c r="W4" i="83"/>
  <c r="V4" i="83"/>
  <c r="M4" i="83"/>
  <c r="N4" i="83" s="1"/>
  <c r="I4" i="83"/>
  <c r="F13" i="83" l="1"/>
  <c r="F26" i="83" s="1"/>
  <c r="F17" i="83"/>
  <c r="F21" i="83"/>
  <c r="F24" i="83"/>
  <c r="F14" i="83"/>
  <c r="F18" i="83"/>
  <c r="F22" i="83"/>
  <c r="V36" i="83"/>
  <c r="F20" i="156"/>
  <c r="J20" i="156" s="1"/>
  <c r="W33" i="83"/>
  <c r="U4" i="83"/>
  <c r="X4" i="83" s="1"/>
  <c r="Y4" i="83" s="1"/>
  <c r="Z4" i="83" s="1"/>
  <c r="Q4" i="83" s="1"/>
  <c r="P4" i="83"/>
  <c r="R4" i="83" s="1"/>
  <c r="U5" i="83"/>
  <c r="X5" i="83" s="1"/>
  <c r="Y5" i="83" s="1"/>
  <c r="Z5" i="83" s="1"/>
  <c r="Q5" i="83" s="1"/>
  <c r="P5" i="83"/>
  <c r="R5" i="83" s="1"/>
  <c r="U6" i="83"/>
  <c r="X6" i="83" s="1"/>
  <c r="Y6" i="83" s="1"/>
  <c r="Z6" i="83" s="1"/>
  <c r="Q6" i="83" s="1"/>
  <c r="P6" i="83"/>
  <c r="R6" i="83" s="1"/>
  <c r="U7" i="83"/>
  <c r="X7" i="83" s="1"/>
  <c r="Y7" i="83" s="1"/>
  <c r="Z7" i="83" s="1"/>
  <c r="Q7" i="83" s="1"/>
  <c r="P7" i="83"/>
  <c r="R7" i="83" s="1"/>
  <c r="U8" i="83"/>
  <c r="X8" i="83" s="1"/>
  <c r="Y8" i="83" s="1"/>
  <c r="Z8" i="83" s="1"/>
  <c r="Q8" i="83" s="1"/>
  <c r="P8" i="83"/>
  <c r="R8" i="83" s="1"/>
  <c r="U9" i="83"/>
  <c r="X9" i="83" s="1"/>
  <c r="Y9" i="83" s="1"/>
  <c r="Z9" i="83" s="1"/>
  <c r="Q9" i="83" s="1"/>
  <c r="P9" i="83"/>
  <c r="R9" i="83" s="1"/>
  <c r="U10" i="83"/>
  <c r="X10" i="83" s="1"/>
  <c r="Y10" i="83" s="1"/>
  <c r="Z10" i="83" s="1"/>
  <c r="Q10" i="83" s="1"/>
  <c r="P10" i="83"/>
  <c r="R10" i="83" s="1"/>
  <c r="U11" i="83"/>
  <c r="X11" i="83" s="1"/>
  <c r="Y11" i="83" s="1"/>
  <c r="Z11" i="83" s="1"/>
  <c r="Q11" i="83" s="1"/>
  <c r="P11" i="83"/>
  <c r="R11" i="83" s="1"/>
  <c r="U12" i="83"/>
  <c r="X12" i="83" s="1"/>
  <c r="Y12" i="83" s="1"/>
  <c r="Z12" i="83" s="1"/>
  <c r="Q12" i="83" s="1"/>
  <c r="P12" i="83"/>
  <c r="R12" i="83" s="1"/>
  <c r="G12" i="83"/>
  <c r="G13" i="83" s="1"/>
  <c r="G14" i="83" s="1"/>
  <c r="G15" i="83" s="1"/>
  <c r="G16" i="83" s="1"/>
  <c r="G17" i="83" s="1"/>
  <c r="G18" i="83" s="1"/>
  <c r="G19" i="83" s="1"/>
  <c r="G20" i="83" s="1"/>
  <c r="G21" i="83" s="1"/>
  <c r="G22" i="83" s="1"/>
  <c r="G23" i="83" s="1"/>
  <c r="G24" i="83" s="1"/>
  <c r="X27" i="83"/>
  <c r="W32" i="83"/>
  <c r="G25" i="83" l="1"/>
  <c r="S12" i="83"/>
  <c r="S11" i="83"/>
  <c r="S10" i="83"/>
  <c r="S9" i="83"/>
  <c r="S8" i="83"/>
  <c r="S7" i="83"/>
  <c r="S6" i="83"/>
  <c r="S5" i="83"/>
  <c r="S4" i="83"/>
  <c r="F31" i="83"/>
  <c r="F36" i="82" l="1"/>
  <c r="G33" i="82"/>
  <c r="W31" i="82"/>
  <c r="W30" i="82"/>
  <c r="W27" i="82"/>
  <c r="C27" i="82"/>
  <c r="E26" i="82"/>
  <c r="E27" i="82" s="1"/>
  <c r="F27" i="82" s="1"/>
  <c r="F25" i="82"/>
  <c r="W24" i="82"/>
  <c r="F23" i="82"/>
  <c r="W22" i="82"/>
  <c r="F20" i="82"/>
  <c r="F19" i="82"/>
  <c r="F16" i="82"/>
  <c r="F15" i="82"/>
  <c r="W12" i="82"/>
  <c r="V12" i="82"/>
  <c r="M12" i="82"/>
  <c r="N12" i="82" s="1"/>
  <c r="I12" i="82"/>
  <c r="F12" i="82"/>
  <c r="W11" i="82"/>
  <c r="V11" i="82"/>
  <c r="M11" i="82"/>
  <c r="N11" i="82" s="1"/>
  <c r="I11" i="82"/>
  <c r="F11" i="82"/>
  <c r="W10" i="82"/>
  <c r="V10" i="82"/>
  <c r="M10" i="82"/>
  <c r="N10" i="82" s="1"/>
  <c r="I10" i="82"/>
  <c r="W9" i="82"/>
  <c r="V9" i="82"/>
  <c r="M9" i="82"/>
  <c r="N9" i="82" s="1"/>
  <c r="I9" i="82"/>
  <c r="W8" i="82"/>
  <c r="V8" i="82"/>
  <c r="M8" i="82"/>
  <c r="N8" i="82" s="1"/>
  <c r="I8" i="82"/>
  <c r="W7" i="82"/>
  <c r="V7" i="82"/>
  <c r="M7" i="82"/>
  <c r="N7" i="82" s="1"/>
  <c r="I7" i="82"/>
  <c r="W6" i="82"/>
  <c r="V6" i="82"/>
  <c r="M6" i="82"/>
  <c r="N6" i="82" s="1"/>
  <c r="I6" i="82"/>
  <c r="AE5" i="82"/>
  <c r="W5" i="82"/>
  <c r="V5" i="82"/>
  <c r="M5" i="82"/>
  <c r="N5" i="82" s="1"/>
  <c r="I5" i="82"/>
  <c r="W4" i="82"/>
  <c r="V4" i="82"/>
  <c r="M4" i="82"/>
  <c r="N4" i="82" s="1"/>
  <c r="I4" i="82"/>
  <c r="F13" i="82" l="1"/>
  <c r="F26" i="82" s="1"/>
  <c r="F17" i="82"/>
  <c r="F21" i="82"/>
  <c r="F24" i="82"/>
  <c r="W33" i="82"/>
  <c r="F14" i="82"/>
  <c r="F18" i="82"/>
  <c r="F22" i="82"/>
  <c r="F19" i="156"/>
  <c r="J19" i="156" s="1"/>
  <c r="V36" i="82"/>
  <c r="U4" i="82"/>
  <c r="X4" i="82" s="1"/>
  <c r="Y4" i="82" s="1"/>
  <c r="Z4" i="82" s="1"/>
  <c r="Q4" i="82" s="1"/>
  <c r="P4" i="82"/>
  <c r="R4" i="82" s="1"/>
  <c r="U5" i="82"/>
  <c r="X5" i="82" s="1"/>
  <c r="Y5" i="82" s="1"/>
  <c r="Z5" i="82" s="1"/>
  <c r="Q5" i="82" s="1"/>
  <c r="P5" i="82"/>
  <c r="R5" i="82" s="1"/>
  <c r="U6" i="82"/>
  <c r="X6" i="82" s="1"/>
  <c r="Y6" i="82" s="1"/>
  <c r="Z6" i="82" s="1"/>
  <c r="Q6" i="82" s="1"/>
  <c r="P6" i="82"/>
  <c r="R6" i="82" s="1"/>
  <c r="U7" i="82"/>
  <c r="X7" i="82" s="1"/>
  <c r="Y7" i="82" s="1"/>
  <c r="Z7" i="82" s="1"/>
  <c r="Q7" i="82" s="1"/>
  <c r="P7" i="82"/>
  <c r="R7" i="82" s="1"/>
  <c r="U8" i="82"/>
  <c r="X8" i="82" s="1"/>
  <c r="Y8" i="82" s="1"/>
  <c r="Z8" i="82" s="1"/>
  <c r="Q8" i="82" s="1"/>
  <c r="P8" i="82"/>
  <c r="R8" i="82" s="1"/>
  <c r="U9" i="82"/>
  <c r="X9" i="82" s="1"/>
  <c r="Y9" i="82" s="1"/>
  <c r="Z9" i="82" s="1"/>
  <c r="Q9" i="82" s="1"/>
  <c r="P9" i="82"/>
  <c r="R9" i="82" s="1"/>
  <c r="U10" i="82"/>
  <c r="X10" i="82" s="1"/>
  <c r="Y10" i="82" s="1"/>
  <c r="Z10" i="82" s="1"/>
  <c r="Q10" i="82" s="1"/>
  <c r="P10" i="82"/>
  <c r="R10" i="82" s="1"/>
  <c r="U11" i="82"/>
  <c r="X11" i="82" s="1"/>
  <c r="Y11" i="82" s="1"/>
  <c r="Z11" i="82" s="1"/>
  <c r="Q11" i="82" s="1"/>
  <c r="P11" i="82"/>
  <c r="R11" i="82" s="1"/>
  <c r="U12" i="82"/>
  <c r="X12" i="82" s="1"/>
  <c r="Y12" i="82" s="1"/>
  <c r="Z12" i="82" s="1"/>
  <c r="Q12" i="82" s="1"/>
  <c r="P12" i="82"/>
  <c r="R12" i="82" s="1"/>
  <c r="G12" i="82"/>
  <c r="G13" i="82" s="1"/>
  <c r="G14" i="82" s="1"/>
  <c r="G15" i="82" s="1"/>
  <c r="G16" i="82" s="1"/>
  <c r="G17" i="82" s="1"/>
  <c r="G18" i="82" s="1"/>
  <c r="G19" i="82" s="1"/>
  <c r="G20" i="82" s="1"/>
  <c r="G21" i="82" s="1"/>
  <c r="G22" i="82" s="1"/>
  <c r="G23" i="82" s="1"/>
  <c r="G24" i="82" s="1"/>
  <c r="X27" i="82"/>
  <c r="W32" i="82"/>
  <c r="G25" i="82" l="1"/>
  <c r="S12" i="82"/>
  <c r="S11" i="82"/>
  <c r="S10" i="82"/>
  <c r="S9" i="82"/>
  <c r="S8" i="82"/>
  <c r="S7" i="82"/>
  <c r="S6" i="82"/>
  <c r="S5" i="82"/>
  <c r="S4" i="82"/>
  <c r="F31" i="82"/>
  <c r="F36" i="81" l="1"/>
  <c r="G33" i="81"/>
  <c r="W31" i="81"/>
  <c r="W30" i="81"/>
  <c r="W27" i="81"/>
  <c r="C27" i="81"/>
  <c r="E26" i="81"/>
  <c r="E27" i="81" s="1"/>
  <c r="F27" i="81" s="1"/>
  <c r="F25" i="81"/>
  <c r="W24" i="81"/>
  <c r="F23" i="81"/>
  <c r="W22" i="81"/>
  <c r="F20" i="81"/>
  <c r="F19" i="81"/>
  <c r="F16" i="81"/>
  <c r="F15" i="81"/>
  <c r="W12" i="81"/>
  <c r="V12" i="81"/>
  <c r="M12" i="81"/>
  <c r="N12" i="81" s="1"/>
  <c r="I12" i="81"/>
  <c r="F12" i="81"/>
  <c r="W11" i="81"/>
  <c r="V11" i="81"/>
  <c r="M11" i="81"/>
  <c r="N11" i="81" s="1"/>
  <c r="I11" i="81"/>
  <c r="F11" i="81"/>
  <c r="W10" i="81"/>
  <c r="V10" i="81"/>
  <c r="M10" i="81"/>
  <c r="N10" i="81" s="1"/>
  <c r="I10" i="81"/>
  <c r="W9" i="81"/>
  <c r="V9" i="81"/>
  <c r="M9" i="81"/>
  <c r="N9" i="81" s="1"/>
  <c r="I9" i="81"/>
  <c r="W8" i="81"/>
  <c r="V8" i="81"/>
  <c r="M8" i="81"/>
  <c r="N8" i="81" s="1"/>
  <c r="I8" i="81"/>
  <c r="W7" i="81"/>
  <c r="V7" i="81"/>
  <c r="M7" i="81"/>
  <c r="N7" i="81" s="1"/>
  <c r="I7" i="81"/>
  <c r="W6" i="81"/>
  <c r="V6" i="81"/>
  <c r="M6" i="81"/>
  <c r="N6" i="81" s="1"/>
  <c r="I6" i="81"/>
  <c r="AE5" i="81"/>
  <c r="W5" i="81"/>
  <c r="V5" i="81"/>
  <c r="M5" i="81"/>
  <c r="N5" i="81" s="1"/>
  <c r="I5" i="81"/>
  <c r="W4" i="81"/>
  <c r="V4" i="81"/>
  <c r="M4" i="81"/>
  <c r="N4" i="81" s="1"/>
  <c r="I4" i="81"/>
  <c r="F13" i="81" l="1"/>
  <c r="F26" i="81" s="1"/>
  <c r="F17" i="81"/>
  <c r="F21" i="81"/>
  <c r="F24" i="81"/>
  <c r="F14" i="81"/>
  <c r="F18" i="81"/>
  <c r="F22" i="81"/>
  <c r="F18" i="156"/>
  <c r="J18" i="156" s="1"/>
  <c r="V36" i="81"/>
  <c r="W33" i="81"/>
  <c r="U4" i="81"/>
  <c r="X4" i="81" s="1"/>
  <c r="Y4" i="81" s="1"/>
  <c r="Z4" i="81" s="1"/>
  <c r="Q4" i="81" s="1"/>
  <c r="P4" i="81"/>
  <c r="R4" i="81" s="1"/>
  <c r="U5" i="81"/>
  <c r="X5" i="81" s="1"/>
  <c r="Y5" i="81" s="1"/>
  <c r="Z5" i="81" s="1"/>
  <c r="Q5" i="81" s="1"/>
  <c r="P5" i="81"/>
  <c r="R5" i="81" s="1"/>
  <c r="U6" i="81"/>
  <c r="X6" i="81" s="1"/>
  <c r="Y6" i="81" s="1"/>
  <c r="Z6" i="81" s="1"/>
  <c r="Q6" i="81" s="1"/>
  <c r="P6" i="81"/>
  <c r="R6" i="81" s="1"/>
  <c r="U7" i="81"/>
  <c r="X7" i="81" s="1"/>
  <c r="Y7" i="81" s="1"/>
  <c r="Z7" i="81" s="1"/>
  <c r="Q7" i="81" s="1"/>
  <c r="P7" i="81"/>
  <c r="R7" i="81" s="1"/>
  <c r="U8" i="81"/>
  <c r="X8" i="81" s="1"/>
  <c r="Y8" i="81" s="1"/>
  <c r="Z8" i="81" s="1"/>
  <c r="Q8" i="81" s="1"/>
  <c r="P8" i="81"/>
  <c r="R8" i="81" s="1"/>
  <c r="U9" i="81"/>
  <c r="X9" i="81" s="1"/>
  <c r="Y9" i="81" s="1"/>
  <c r="Z9" i="81" s="1"/>
  <c r="Q9" i="81" s="1"/>
  <c r="P9" i="81"/>
  <c r="R9" i="81" s="1"/>
  <c r="U10" i="81"/>
  <c r="X10" i="81" s="1"/>
  <c r="Y10" i="81" s="1"/>
  <c r="Z10" i="81" s="1"/>
  <c r="Q10" i="81" s="1"/>
  <c r="P10" i="81"/>
  <c r="R10" i="81" s="1"/>
  <c r="U11" i="81"/>
  <c r="X11" i="81" s="1"/>
  <c r="Y11" i="81" s="1"/>
  <c r="Z11" i="81" s="1"/>
  <c r="Q11" i="81" s="1"/>
  <c r="P11" i="81"/>
  <c r="R11" i="81" s="1"/>
  <c r="U12" i="81"/>
  <c r="X12" i="81" s="1"/>
  <c r="Y12" i="81" s="1"/>
  <c r="Z12" i="81" s="1"/>
  <c r="Q12" i="81" s="1"/>
  <c r="P12" i="81"/>
  <c r="R12" i="81" s="1"/>
  <c r="G12" i="81"/>
  <c r="G13" i="81" s="1"/>
  <c r="G14" i="81" s="1"/>
  <c r="G15" i="81" s="1"/>
  <c r="G16" i="81" s="1"/>
  <c r="G17" i="81" s="1"/>
  <c r="G18" i="81" s="1"/>
  <c r="G19" i="81" s="1"/>
  <c r="G20" i="81" s="1"/>
  <c r="G21" i="81" s="1"/>
  <c r="G22" i="81" s="1"/>
  <c r="G23" i="81" s="1"/>
  <c r="G24" i="81" s="1"/>
  <c r="X27" i="81"/>
  <c r="W32" i="81"/>
  <c r="G25" i="81" l="1"/>
  <c r="S12" i="81"/>
  <c r="S11" i="81"/>
  <c r="S10" i="81"/>
  <c r="S9" i="81"/>
  <c r="S8" i="81"/>
  <c r="S7" i="81"/>
  <c r="S6" i="81"/>
  <c r="S5" i="81"/>
  <c r="S4" i="81"/>
  <c r="F31" i="81"/>
  <c r="F36" i="80" l="1"/>
  <c r="G33" i="80"/>
  <c r="W31" i="80"/>
  <c r="W30" i="80"/>
  <c r="W27" i="80"/>
  <c r="C27" i="80"/>
  <c r="E26" i="80"/>
  <c r="E27" i="80" s="1"/>
  <c r="F27" i="80" s="1"/>
  <c r="F25" i="80"/>
  <c r="W24" i="80"/>
  <c r="F23" i="80"/>
  <c r="W22" i="80"/>
  <c r="F20" i="80"/>
  <c r="F19" i="80"/>
  <c r="F16" i="80"/>
  <c r="F15" i="80"/>
  <c r="W12" i="80"/>
  <c r="V12" i="80"/>
  <c r="M12" i="80"/>
  <c r="N12" i="80" s="1"/>
  <c r="I12" i="80"/>
  <c r="F12" i="80"/>
  <c r="W11" i="80"/>
  <c r="V11" i="80"/>
  <c r="M11" i="80"/>
  <c r="N11" i="80" s="1"/>
  <c r="I11" i="80"/>
  <c r="F11" i="80"/>
  <c r="W10" i="80"/>
  <c r="V10" i="80"/>
  <c r="M10" i="80"/>
  <c r="N10" i="80" s="1"/>
  <c r="I10" i="80"/>
  <c r="W9" i="80"/>
  <c r="V9" i="80"/>
  <c r="M9" i="80"/>
  <c r="N9" i="80" s="1"/>
  <c r="I9" i="80"/>
  <c r="W8" i="80"/>
  <c r="V8" i="80"/>
  <c r="M8" i="80"/>
  <c r="N8" i="80" s="1"/>
  <c r="I8" i="80"/>
  <c r="W7" i="80"/>
  <c r="V7" i="80"/>
  <c r="M7" i="80"/>
  <c r="N7" i="80" s="1"/>
  <c r="I7" i="80"/>
  <c r="W6" i="80"/>
  <c r="V6" i="80"/>
  <c r="M6" i="80"/>
  <c r="N6" i="80" s="1"/>
  <c r="I6" i="80"/>
  <c r="AE5" i="80"/>
  <c r="W5" i="80"/>
  <c r="V5" i="80"/>
  <c r="M5" i="80"/>
  <c r="N5" i="80" s="1"/>
  <c r="I5" i="80"/>
  <c r="W4" i="80"/>
  <c r="V4" i="80"/>
  <c r="M4" i="80"/>
  <c r="N4" i="80" s="1"/>
  <c r="I4" i="80"/>
  <c r="F13" i="80" l="1"/>
  <c r="F26" i="80" s="1"/>
  <c r="F17" i="80"/>
  <c r="F21" i="80"/>
  <c r="F24" i="80"/>
  <c r="F14" i="80"/>
  <c r="F18" i="80"/>
  <c r="F22" i="80"/>
  <c r="F17" i="156"/>
  <c r="J17" i="156" s="1"/>
  <c r="V36" i="80"/>
  <c r="W33" i="80"/>
  <c r="U4" i="80"/>
  <c r="X4" i="80" s="1"/>
  <c r="Y4" i="80" s="1"/>
  <c r="Z4" i="80" s="1"/>
  <c r="Q4" i="80" s="1"/>
  <c r="P4" i="80"/>
  <c r="R4" i="80" s="1"/>
  <c r="U5" i="80"/>
  <c r="X5" i="80" s="1"/>
  <c r="Y5" i="80" s="1"/>
  <c r="Z5" i="80" s="1"/>
  <c r="Q5" i="80" s="1"/>
  <c r="P5" i="80"/>
  <c r="R5" i="80" s="1"/>
  <c r="U6" i="80"/>
  <c r="X6" i="80" s="1"/>
  <c r="Y6" i="80" s="1"/>
  <c r="Z6" i="80" s="1"/>
  <c r="Q6" i="80" s="1"/>
  <c r="P6" i="80"/>
  <c r="R6" i="80" s="1"/>
  <c r="U7" i="80"/>
  <c r="X7" i="80" s="1"/>
  <c r="Y7" i="80" s="1"/>
  <c r="Z7" i="80" s="1"/>
  <c r="Q7" i="80" s="1"/>
  <c r="P7" i="80"/>
  <c r="R7" i="80" s="1"/>
  <c r="U8" i="80"/>
  <c r="X8" i="80" s="1"/>
  <c r="Y8" i="80" s="1"/>
  <c r="Z8" i="80" s="1"/>
  <c r="Q8" i="80" s="1"/>
  <c r="P8" i="80"/>
  <c r="R8" i="80" s="1"/>
  <c r="U9" i="80"/>
  <c r="X9" i="80" s="1"/>
  <c r="Y9" i="80" s="1"/>
  <c r="Z9" i="80" s="1"/>
  <c r="Q9" i="80" s="1"/>
  <c r="P9" i="80"/>
  <c r="R9" i="80" s="1"/>
  <c r="U10" i="80"/>
  <c r="X10" i="80" s="1"/>
  <c r="Y10" i="80" s="1"/>
  <c r="Z10" i="80" s="1"/>
  <c r="Q10" i="80" s="1"/>
  <c r="P10" i="80"/>
  <c r="R10" i="80" s="1"/>
  <c r="U11" i="80"/>
  <c r="X11" i="80" s="1"/>
  <c r="Y11" i="80" s="1"/>
  <c r="Z11" i="80" s="1"/>
  <c r="Q11" i="80" s="1"/>
  <c r="P11" i="80"/>
  <c r="R11" i="80" s="1"/>
  <c r="U12" i="80"/>
  <c r="X12" i="80" s="1"/>
  <c r="Y12" i="80" s="1"/>
  <c r="Z12" i="80" s="1"/>
  <c r="Q12" i="80" s="1"/>
  <c r="P12" i="80"/>
  <c r="R12" i="80" s="1"/>
  <c r="G12" i="80"/>
  <c r="G13" i="80" s="1"/>
  <c r="G14" i="80" s="1"/>
  <c r="G15" i="80" s="1"/>
  <c r="G16" i="80" s="1"/>
  <c r="G17" i="80" s="1"/>
  <c r="G18" i="80" s="1"/>
  <c r="G19" i="80" s="1"/>
  <c r="G20" i="80" s="1"/>
  <c r="G21" i="80" s="1"/>
  <c r="G22" i="80" s="1"/>
  <c r="G23" i="80" s="1"/>
  <c r="G24" i="80" s="1"/>
  <c r="X27" i="80"/>
  <c r="W32" i="80"/>
  <c r="G25" i="80" l="1"/>
  <c r="S12" i="80"/>
  <c r="S11" i="80"/>
  <c r="S10" i="80"/>
  <c r="S9" i="80"/>
  <c r="S8" i="80"/>
  <c r="S7" i="80"/>
  <c r="S6" i="80"/>
  <c r="S5" i="80"/>
  <c r="S4" i="80"/>
  <c r="F31" i="80"/>
  <c r="F36" i="79" l="1"/>
  <c r="G33" i="79"/>
  <c r="W31" i="79"/>
  <c r="W30" i="79"/>
  <c r="W27" i="79"/>
  <c r="G15" i="156" s="1"/>
  <c r="C27" i="79"/>
  <c r="E26" i="79"/>
  <c r="E27" i="79" s="1"/>
  <c r="F27" i="79" s="1"/>
  <c r="F25" i="79"/>
  <c r="W24" i="79"/>
  <c r="F15" i="156" s="1"/>
  <c r="J15" i="156" s="1"/>
  <c r="F23" i="79"/>
  <c r="W22" i="79"/>
  <c r="F22" i="79"/>
  <c r="F20" i="79"/>
  <c r="F19" i="79"/>
  <c r="F18" i="79"/>
  <c r="F16" i="79"/>
  <c r="F15" i="79"/>
  <c r="F14" i="79"/>
  <c r="W12" i="79"/>
  <c r="V12" i="79"/>
  <c r="M12" i="79"/>
  <c r="N12" i="79" s="1"/>
  <c r="I12" i="79"/>
  <c r="F12" i="79"/>
  <c r="W11" i="79"/>
  <c r="V11" i="79"/>
  <c r="M11" i="79"/>
  <c r="N11" i="79" s="1"/>
  <c r="I11" i="79"/>
  <c r="F11" i="79"/>
  <c r="W10" i="79"/>
  <c r="V10" i="79"/>
  <c r="M10" i="79"/>
  <c r="N10" i="79" s="1"/>
  <c r="I10" i="79"/>
  <c r="W9" i="79"/>
  <c r="V9" i="79"/>
  <c r="M9" i="79"/>
  <c r="N9" i="79" s="1"/>
  <c r="I9" i="79"/>
  <c r="W8" i="79"/>
  <c r="V8" i="79"/>
  <c r="M8" i="79"/>
  <c r="N8" i="79" s="1"/>
  <c r="I8" i="79"/>
  <c r="W7" i="79"/>
  <c r="V7" i="79"/>
  <c r="M7" i="79"/>
  <c r="N7" i="79" s="1"/>
  <c r="I7" i="79"/>
  <c r="W6" i="79"/>
  <c r="V6" i="79"/>
  <c r="M6" i="79"/>
  <c r="N6" i="79" s="1"/>
  <c r="I6" i="79"/>
  <c r="AE5" i="79"/>
  <c r="W5" i="79"/>
  <c r="V5" i="79"/>
  <c r="M5" i="79"/>
  <c r="N5" i="79" s="1"/>
  <c r="I5" i="79"/>
  <c r="W4" i="79"/>
  <c r="V4" i="79"/>
  <c r="M4" i="79"/>
  <c r="N4" i="79" s="1"/>
  <c r="I4" i="79"/>
  <c r="F13" i="79" l="1"/>
  <c r="F26" i="79" s="1"/>
  <c r="F17" i="79"/>
  <c r="F21" i="79"/>
  <c r="F24" i="79"/>
  <c r="V36" i="79"/>
  <c r="W33" i="79"/>
  <c r="U4" i="79"/>
  <c r="X4" i="79" s="1"/>
  <c r="Y4" i="79" s="1"/>
  <c r="Z4" i="79" s="1"/>
  <c r="Q4" i="79" s="1"/>
  <c r="P4" i="79"/>
  <c r="R4" i="79" s="1"/>
  <c r="U5" i="79"/>
  <c r="X5" i="79" s="1"/>
  <c r="Y5" i="79" s="1"/>
  <c r="Z5" i="79" s="1"/>
  <c r="Q5" i="79" s="1"/>
  <c r="P5" i="79"/>
  <c r="R5" i="79" s="1"/>
  <c r="U6" i="79"/>
  <c r="X6" i="79" s="1"/>
  <c r="Y6" i="79" s="1"/>
  <c r="Z6" i="79" s="1"/>
  <c r="Q6" i="79" s="1"/>
  <c r="P6" i="79"/>
  <c r="R6" i="79" s="1"/>
  <c r="U7" i="79"/>
  <c r="X7" i="79" s="1"/>
  <c r="Y7" i="79" s="1"/>
  <c r="Z7" i="79" s="1"/>
  <c r="Q7" i="79" s="1"/>
  <c r="P7" i="79"/>
  <c r="R7" i="79" s="1"/>
  <c r="U8" i="79"/>
  <c r="X8" i="79" s="1"/>
  <c r="Y8" i="79" s="1"/>
  <c r="Z8" i="79" s="1"/>
  <c r="Q8" i="79" s="1"/>
  <c r="P8" i="79"/>
  <c r="R8" i="79" s="1"/>
  <c r="U9" i="79"/>
  <c r="X9" i="79" s="1"/>
  <c r="Y9" i="79" s="1"/>
  <c r="Z9" i="79" s="1"/>
  <c r="Q9" i="79" s="1"/>
  <c r="P9" i="79"/>
  <c r="R9" i="79" s="1"/>
  <c r="U10" i="79"/>
  <c r="X10" i="79" s="1"/>
  <c r="Y10" i="79" s="1"/>
  <c r="Z10" i="79" s="1"/>
  <c r="Q10" i="79" s="1"/>
  <c r="P10" i="79"/>
  <c r="R10" i="79" s="1"/>
  <c r="U11" i="79"/>
  <c r="X11" i="79" s="1"/>
  <c r="Y11" i="79" s="1"/>
  <c r="Z11" i="79" s="1"/>
  <c r="Q11" i="79" s="1"/>
  <c r="P11" i="79"/>
  <c r="R11" i="79" s="1"/>
  <c r="U12" i="79"/>
  <c r="X12" i="79" s="1"/>
  <c r="Y12" i="79" s="1"/>
  <c r="Z12" i="79" s="1"/>
  <c r="Q12" i="79" s="1"/>
  <c r="P12" i="79"/>
  <c r="R12" i="79" s="1"/>
  <c r="G12" i="79"/>
  <c r="G13" i="79" s="1"/>
  <c r="G14" i="79" s="1"/>
  <c r="G15" i="79" s="1"/>
  <c r="G16" i="79" s="1"/>
  <c r="G17" i="79" s="1"/>
  <c r="G18" i="79" s="1"/>
  <c r="G19" i="79" s="1"/>
  <c r="G20" i="79" s="1"/>
  <c r="G21" i="79" s="1"/>
  <c r="G22" i="79" s="1"/>
  <c r="G23" i="79" s="1"/>
  <c r="G24" i="79" s="1"/>
  <c r="X27" i="79"/>
  <c r="W32" i="79"/>
  <c r="G25" i="79" l="1"/>
  <c r="S12" i="79"/>
  <c r="S11" i="79"/>
  <c r="S10" i="79"/>
  <c r="S9" i="79"/>
  <c r="S8" i="79"/>
  <c r="S7" i="79"/>
  <c r="S6" i="79"/>
  <c r="S5" i="79"/>
  <c r="S4" i="79"/>
  <c r="F31" i="79"/>
  <c r="F36" i="78" l="1"/>
  <c r="G33" i="78"/>
  <c r="W31" i="78"/>
  <c r="W30" i="78"/>
  <c r="W27" i="78"/>
  <c r="C27" i="78"/>
  <c r="E26" i="78"/>
  <c r="E27" i="78" s="1"/>
  <c r="F27" i="78" s="1"/>
  <c r="F25" i="78"/>
  <c r="W24" i="78"/>
  <c r="F23" i="78"/>
  <c r="W22" i="78"/>
  <c r="F20" i="78"/>
  <c r="F19" i="78"/>
  <c r="F16" i="78"/>
  <c r="F15" i="78"/>
  <c r="W12" i="78"/>
  <c r="V12" i="78"/>
  <c r="M12" i="78"/>
  <c r="N12" i="78" s="1"/>
  <c r="I12" i="78"/>
  <c r="F12" i="78"/>
  <c r="W11" i="78"/>
  <c r="V11" i="78"/>
  <c r="M11" i="78"/>
  <c r="N11" i="78" s="1"/>
  <c r="I11" i="78"/>
  <c r="F11" i="78"/>
  <c r="W10" i="78"/>
  <c r="V10" i="78"/>
  <c r="M10" i="78"/>
  <c r="N10" i="78" s="1"/>
  <c r="I10" i="78"/>
  <c r="W9" i="78"/>
  <c r="V9" i="78"/>
  <c r="M9" i="78"/>
  <c r="N9" i="78" s="1"/>
  <c r="I9" i="78"/>
  <c r="W8" i="78"/>
  <c r="V8" i="78"/>
  <c r="M8" i="78"/>
  <c r="N8" i="78" s="1"/>
  <c r="I8" i="78"/>
  <c r="W7" i="78"/>
  <c r="V7" i="78"/>
  <c r="M7" i="78"/>
  <c r="N7" i="78" s="1"/>
  <c r="I7" i="78"/>
  <c r="W6" i="78"/>
  <c r="V6" i="78"/>
  <c r="M6" i="78"/>
  <c r="N6" i="78" s="1"/>
  <c r="I6" i="78"/>
  <c r="AE5" i="78"/>
  <c r="W5" i="78"/>
  <c r="V5" i="78"/>
  <c r="M5" i="78"/>
  <c r="N5" i="78" s="1"/>
  <c r="I5" i="78"/>
  <c r="W4" i="78"/>
  <c r="V4" i="78"/>
  <c r="M4" i="78"/>
  <c r="N4" i="78" s="1"/>
  <c r="I4" i="78"/>
  <c r="F13" i="78" l="1"/>
  <c r="F26" i="78" s="1"/>
  <c r="F17" i="78"/>
  <c r="F21" i="78"/>
  <c r="F24" i="78"/>
  <c r="F14" i="78"/>
  <c r="F18" i="78"/>
  <c r="F22" i="78"/>
  <c r="F14" i="156"/>
  <c r="J14" i="156" s="1"/>
  <c r="V36" i="78"/>
  <c r="W33" i="78"/>
  <c r="U4" i="78"/>
  <c r="X4" i="78" s="1"/>
  <c r="Y4" i="78" s="1"/>
  <c r="Z4" i="78" s="1"/>
  <c r="Q4" i="78" s="1"/>
  <c r="P4" i="78"/>
  <c r="R4" i="78" s="1"/>
  <c r="U5" i="78"/>
  <c r="X5" i="78" s="1"/>
  <c r="Y5" i="78" s="1"/>
  <c r="Z5" i="78" s="1"/>
  <c r="Q5" i="78" s="1"/>
  <c r="P5" i="78"/>
  <c r="R5" i="78" s="1"/>
  <c r="U6" i="78"/>
  <c r="X6" i="78" s="1"/>
  <c r="Y6" i="78" s="1"/>
  <c r="Z6" i="78" s="1"/>
  <c r="Q6" i="78" s="1"/>
  <c r="P6" i="78"/>
  <c r="R6" i="78" s="1"/>
  <c r="U7" i="78"/>
  <c r="X7" i="78" s="1"/>
  <c r="Y7" i="78" s="1"/>
  <c r="Z7" i="78" s="1"/>
  <c r="Q7" i="78" s="1"/>
  <c r="P7" i="78"/>
  <c r="R7" i="78" s="1"/>
  <c r="U8" i="78"/>
  <c r="X8" i="78" s="1"/>
  <c r="Y8" i="78" s="1"/>
  <c r="Z8" i="78" s="1"/>
  <c r="Q8" i="78" s="1"/>
  <c r="P8" i="78"/>
  <c r="R8" i="78" s="1"/>
  <c r="U9" i="78"/>
  <c r="X9" i="78" s="1"/>
  <c r="Y9" i="78" s="1"/>
  <c r="Z9" i="78" s="1"/>
  <c r="Q9" i="78" s="1"/>
  <c r="P9" i="78"/>
  <c r="R9" i="78" s="1"/>
  <c r="U10" i="78"/>
  <c r="X10" i="78" s="1"/>
  <c r="Y10" i="78" s="1"/>
  <c r="Z10" i="78" s="1"/>
  <c r="Q10" i="78" s="1"/>
  <c r="P10" i="78"/>
  <c r="R10" i="78" s="1"/>
  <c r="U11" i="78"/>
  <c r="X11" i="78" s="1"/>
  <c r="Y11" i="78" s="1"/>
  <c r="Z11" i="78" s="1"/>
  <c r="Q11" i="78" s="1"/>
  <c r="P11" i="78"/>
  <c r="R11" i="78" s="1"/>
  <c r="U12" i="78"/>
  <c r="X12" i="78" s="1"/>
  <c r="Y12" i="78" s="1"/>
  <c r="Z12" i="78" s="1"/>
  <c r="Q12" i="78" s="1"/>
  <c r="P12" i="78"/>
  <c r="R12" i="78" s="1"/>
  <c r="G12" i="78"/>
  <c r="G13" i="78" s="1"/>
  <c r="G14" i="78" s="1"/>
  <c r="G15" i="78" s="1"/>
  <c r="G16" i="78" s="1"/>
  <c r="G17" i="78" s="1"/>
  <c r="G18" i="78" s="1"/>
  <c r="G19" i="78" s="1"/>
  <c r="G20" i="78" s="1"/>
  <c r="G21" i="78" s="1"/>
  <c r="G22" i="78" s="1"/>
  <c r="G23" i="78" s="1"/>
  <c r="G24" i="78" s="1"/>
  <c r="X27" i="78"/>
  <c r="W32" i="78"/>
  <c r="G25" i="78" l="1"/>
  <c r="S12" i="78"/>
  <c r="S11" i="78"/>
  <c r="S10" i="78"/>
  <c r="S9" i="78"/>
  <c r="S8" i="78"/>
  <c r="S7" i="78"/>
  <c r="S6" i="78"/>
  <c r="S5" i="78"/>
  <c r="S4" i="78"/>
  <c r="F31" i="78"/>
  <c r="F36" i="77" l="1"/>
  <c r="G33" i="77"/>
  <c r="W31" i="77"/>
  <c r="W30" i="77"/>
  <c r="W27" i="77"/>
  <c r="C27" i="77"/>
  <c r="E26" i="77"/>
  <c r="E27" i="77" s="1"/>
  <c r="F27" i="77" s="1"/>
  <c r="F25" i="77"/>
  <c r="W24" i="77"/>
  <c r="F23" i="77"/>
  <c r="W22" i="77"/>
  <c r="F21" i="77"/>
  <c r="F20" i="77"/>
  <c r="F19" i="77"/>
  <c r="F17" i="77"/>
  <c r="F16" i="77"/>
  <c r="F15" i="77"/>
  <c r="F13" i="77"/>
  <c r="W12" i="77"/>
  <c r="V12" i="77"/>
  <c r="M12" i="77"/>
  <c r="I12" i="77"/>
  <c r="F12" i="77"/>
  <c r="W11" i="77"/>
  <c r="V11" i="77"/>
  <c r="M11" i="77"/>
  <c r="N11" i="77" s="1"/>
  <c r="I11" i="77"/>
  <c r="F11" i="77"/>
  <c r="W10" i="77"/>
  <c r="V10" i="77"/>
  <c r="M10" i="77"/>
  <c r="N10" i="77" s="1"/>
  <c r="I10" i="77"/>
  <c r="W9" i="77"/>
  <c r="V9" i="77"/>
  <c r="M9" i="77"/>
  <c r="N9" i="77" s="1"/>
  <c r="I9" i="77"/>
  <c r="W8" i="77"/>
  <c r="V8" i="77"/>
  <c r="M8" i="77"/>
  <c r="N8" i="77" s="1"/>
  <c r="I8" i="77"/>
  <c r="W7" i="77"/>
  <c r="V7" i="77"/>
  <c r="M7" i="77"/>
  <c r="N7" i="77" s="1"/>
  <c r="I7" i="77"/>
  <c r="W6" i="77"/>
  <c r="V6" i="77"/>
  <c r="M6" i="77"/>
  <c r="N6" i="77" s="1"/>
  <c r="I6" i="77"/>
  <c r="AE5" i="77"/>
  <c r="W5" i="77"/>
  <c r="V5" i="77"/>
  <c r="M5" i="77"/>
  <c r="N5" i="77" s="1"/>
  <c r="I5" i="77"/>
  <c r="W4" i="77"/>
  <c r="V4" i="77"/>
  <c r="M4" i="77"/>
  <c r="N4" i="77" s="1"/>
  <c r="I4" i="77"/>
  <c r="F24" i="77" l="1"/>
  <c r="N12" i="77"/>
  <c r="F14" i="77"/>
  <c r="F26" i="77" s="1"/>
  <c r="F18" i="77"/>
  <c r="F22" i="77"/>
  <c r="F13" i="156"/>
  <c r="J13" i="156" s="1"/>
  <c r="V36" i="77"/>
  <c r="W33" i="77"/>
  <c r="U4" i="77"/>
  <c r="X4" i="77" s="1"/>
  <c r="Y4" i="77" s="1"/>
  <c r="Z4" i="77" s="1"/>
  <c r="Q4" i="77" s="1"/>
  <c r="P4" i="77"/>
  <c r="R4" i="77" s="1"/>
  <c r="U5" i="77"/>
  <c r="X5" i="77" s="1"/>
  <c r="Y5" i="77" s="1"/>
  <c r="Z5" i="77" s="1"/>
  <c r="Q5" i="77" s="1"/>
  <c r="P5" i="77"/>
  <c r="R5" i="77" s="1"/>
  <c r="U6" i="77"/>
  <c r="X6" i="77" s="1"/>
  <c r="Y6" i="77" s="1"/>
  <c r="Z6" i="77" s="1"/>
  <c r="Q6" i="77" s="1"/>
  <c r="P6" i="77"/>
  <c r="R6" i="77" s="1"/>
  <c r="U7" i="77"/>
  <c r="X7" i="77" s="1"/>
  <c r="Y7" i="77" s="1"/>
  <c r="Z7" i="77" s="1"/>
  <c r="Q7" i="77" s="1"/>
  <c r="P7" i="77"/>
  <c r="R7" i="77" s="1"/>
  <c r="U8" i="77"/>
  <c r="X8" i="77" s="1"/>
  <c r="Y8" i="77" s="1"/>
  <c r="Z8" i="77" s="1"/>
  <c r="Q8" i="77" s="1"/>
  <c r="P8" i="77"/>
  <c r="R8" i="77" s="1"/>
  <c r="U9" i="77"/>
  <c r="X9" i="77" s="1"/>
  <c r="Y9" i="77" s="1"/>
  <c r="Z9" i="77" s="1"/>
  <c r="Q9" i="77" s="1"/>
  <c r="P9" i="77"/>
  <c r="R9" i="77" s="1"/>
  <c r="U10" i="77"/>
  <c r="X10" i="77" s="1"/>
  <c r="Y10" i="77" s="1"/>
  <c r="Z10" i="77" s="1"/>
  <c r="Q10" i="77" s="1"/>
  <c r="P10" i="77"/>
  <c r="R10" i="77" s="1"/>
  <c r="U11" i="77"/>
  <c r="X11" i="77" s="1"/>
  <c r="Y11" i="77" s="1"/>
  <c r="Z11" i="77" s="1"/>
  <c r="Q11" i="77" s="1"/>
  <c r="P11" i="77"/>
  <c r="R11" i="77" s="1"/>
  <c r="U12" i="77"/>
  <c r="X12" i="77" s="1"/>
  <c r="Y12" i="77" s="1"/>
  <c r="Z12" i="77" s="1"/>
  <c r="Q12" i="77" s="1"/>
  <c r="P12" i="77"/>
  <c r="R12" i="77" s="1"/>
  <c r="G12" i="77"/>
  <c r="G13" i="77" s="1"/>
  <c r="X27" i="77"/>
  <c r="W32" i="77"/>
  <c r="G14" i="77" l="1"/>
  <c r="G15" i="77" s="1"/>
  <c r="G16" i="77" s="1"/>
  <c r="G17" i="77" s="1"/>
  <c r="G18" i="77" s="1"/>
  <c r="G19" i="77" s="1"/>
  <c r="G20" i="77" s="1"/>
  <c r="G21" i="77" s="1"/>
  <c r="G22" i="77" s="1"/>
  <c r="G23" i="77" s="1"/>
  <c r="G24" i="77" s="1"/>
  <c r="G25" i="77" s="1"/>
  <c r="S10" i="77"/>
  <c r="S7" i="77"/>
  <c r="S6" i="77"/>
  <c r="F31" i="77"/>
  <c r="S12" i="77" l="1"/>
  <c r="S11" i="77"/>
  <c r="S4" i="77"/>
  <c r="S8" i="77"/>
  <c r="S5" i="77"/>
  <c r="S9" i="77"/>
  <c r="F36" i="76"/>
  <c r="G33" i="76"/>
  <c r="W31" i="76"/>
  <c r="W30" i="76"/>
  <c r="W27" i="76"/>
  <c r="G12" i="156" s="1"/>
  <c r="C27" i="76"/>
  <c r="E26" i="76"/>
  <c r="E27" i="76" s="1"/>
  <c r="F27" i="76" s="1"/>
  <c r="F25" i="76"/>
  <c r="W24" i="76"/>
  <c r="F12" i="156" s="1"/>
  <c r="J12" i="156" s="1"/>
  <c r="F24" i="76"/>
  <c r="F23" i="76"/>
  <c r="F22" i="76"/>
  <c r="F21" i="76"/>
  <c r="F20" i="76"/>
  <c r="F19" i="76"/>
  <c r="F18" i="76"/>
  <c r="F17" i="76"/>
  <c r="F16" i="76"/>
  <c r="F15" i="76"/>
  <c r="F14" i="76"/>
  <c r="F13" i="76"/>
  <c r="W12" i="76"/>
  <c r="V12" i="76"/>
  <c r="M12" i="76"/>
  <c r="I12" i="76"/>
  <c r="F12" i="76"/>
  <c r="W11" i="76"/>
  <c r="V11" i="76"/>
  <c r="M11" i="76"/>
  <c r="N11" i="76" s="1"/>
  <c r="I11" i="76"/>
  <c r="F11" i="76"/>
  <c r="W10" i="76"/>
  <c r="V10" i="76"/>
  <c r="M10" i="76"/>
  <c r="I10" i="76"/>
  <c r="W9" i="76"/>
  <c r="V9" i="76"/>
  <c r="M9" i="76"/>
  <c r="I9" i="76"/>
  <c r="W8" i="76"/>
  <c r="V8" i="76"/>
  <c r="M8" i="76"/>
  <c r="I8" i="76"/>
  <c r="W7" i="76"/>
  <c r="V7" i="76"/>
  <c r="M7" i="76"/>
  <c r="I7" i="76"/>
  <c r="W6" i="76"/>
  <c r="V6" i="76"/>
  <c r="M6" i="76"/>
  <c r="I6" i="76"/>
  <c r="AE5" i="76"/>
  <c r="W5" i="76"/>
  <c r="V5" i="76"/>
  <c r="M5" i="76"/>
  <c r="I5" i="76"/>
  <c r="W4" i="76"/>
  <c r="V4" i="76"/>
  <c r="M4" i="76"/>
  <c r="I4" i="76"/>
  <c r="N12" i="76" l="1"/>
  <c r="N4" i="76"/>
  <c r="N5" i="76"/>
  <c r="N6" i="76"/>
  <c r="U6" i="76" s="1"/>
  <c r="X6" i="76" s="1"/>
  <c r="Y6" i="76" s="1"/>
  <c r="Z6" i="76" s="1"/>
  <c r="Q6" i="76" s="1"/>
  <c r="N7" i="76"/>
  <c r="N8" i="76"/>
  <c r="N9" i="76"/>
  <c r="N10" i="76"/>
  <c r="U10" i="76" s="1"/>
  <c r="X10" i="76" s="1"/>
  <c r="Y10" i="76" s="1"/>
  <c r="Z10" i="76" s="1"/>
  <c r="Q10" i="76" s="1"/>
  <c r="F26" i="76"/>
  <c r="V36" i="76"/>
  <c r="W33" i="76"/>
  <c r="U4" i="76"/>
  <c r="X4" i="76" s="1"/>
  <c r="Y4" i="76" s="1"/>
  <c r="Z4" i="76" s="1"/>
  <c r="Q4" i="76" s="1"/>
  <c r="P4" i="76"/>
  <c r="R4" i="76" s="1"/>
  <c r="U5" i="76"/>
  <c r="X5" i="76" s="1"/>
  <c r="Y5" i="76" s="1"/>
  <c r="Z5" i="76" s="1"/>
  <c r="Q5" i="76" s="1"/>
  <c r="P5" i="76"/>
  <c r="R5" i="76" s="1"/>
  <c r="P6" i="76"/>
  <c r="R6" i="76" s="1"/>
  <c r="U7" i="76"/>
  <c r="X7" i="76" s="1"/>
  <c r="Y7" i="76" s="1"/>
  <c r="Z7" i="76" s="1"/>
  <c r="Q7" i="76" s="1"/>
  <c r="P7" i="76"/>
  <c r="R7" i="76" s="1"/>
  <c r="U8" i="76"/>
  <c r="X8" i="76" s="1"/>
  <c r="Y8" i="76" s="1"/>
  <c r="Z8" i="76" s="1"/>
  <c r="Q8" i="76" s="1"/>
  <c r="P8" i="76"/>
  <c r="R8" i="76" s="1"/>
  <c r="U9" i="76"/>
  <c r="X9" i="76" s="1"/>
  <c r="Y9" i="76" s="1"/>
  <c r="Z9" i="76" s="1"/>
  <c r="Q9" i="76" s="1"/>
  <c r="P9" i="76"/>
  <c r="R9" i="76" s="1"/>
  <c r="P10" i="76"/>
  <c r="R10" i="76" s="1"/>
  <c r="U11" i="76"/>
  <c r="X11" i="76" s="1"/>
  <c r="Y11" i="76" s="1"/>
  <c r="Z11" i="76" s="1"/>
  <c r="Q11" i="76" s="1"/>
  <c r="P11" i="76"/>
  <c r="R11" i="76" s="1"/>
  <c r="U12" i="76"/>
  <c r="X12" i="76" s="1"/>
  <c r="Y12" i="76" s="1"/>
  <c r="Z12" i="76" s="1"/>
  <c r="Q12" i="76" s="1"/>
  <c r="P12" i="76"/>
  <c r="R12" i="76" s="1"/>
  <c r="G12" i="76"/>
  <c r="G13" i="76" s="1"/>
  <c r="G14" i="76" s="1"/>
  <c r="G15" i="76" s="1"/>
  <c r="G16" i="76" s="1"/>
  <c r="G17" i="76" s="1"/>
  <c r="G18" i="76" s="1"/>
  <c r="G19" i="76" s="1"/>
  <c r="G20" i="76" s="1"/>
  <c r="G21" i="76" s="1"/>
  <c r="G22" i="76" s="1"/>
  <c r="G23" i="76" s="1"/>
  <c r="G24" i="76" s="1"/>
  <c r="X27" i="76"/>
  <c r="W32" i="76"/>
  <c r="G25" i="76" l="1"/>
  <c r="S12" i="76"/>
  <c r="S11" i="76"/>
  <c r="S10" i="76"/>
  <c r="S9" i="76"/>
  <c r="S8" i="76"/>
  <c r="S7" i="76"/>
  <c r="S6" i="76"/>
  <c r="S5" i="76"/>
  <c r="S4" i="76"/>
  <c r="F31" i="76"/>
  <c r="F36" i="75" l="1"/>
  <c r="G33" i="75"/>
  <c r="W31" i="75"/>
  <c r="W30" i="75"/>
  <c r="W27" i="75"/>
  <c r="C27" i="75"/>
  <c r="E26" i="75"/>
  <c r="E27" i="75" s="1"/>
  <c r="F27" i="75" s="1"/>
  <c r="F25" i="75"/>
  <c r="W24" i="75"/>
  <c r="F23" i="75"/>
  <c r="W22" i="75"/>
  <c r="F20" i="75"/>
  <c r="F19" i="75"/>
  <c r="F16" i="75"/>
  <c r="F15" i="75"/>
  <c r="W12" i="75"/>
  <c r="V12" i="75"/>
  <c r="M12" i="75"/>
  <c r="N12" i="75" s="1"/>
  <c r="I12" i="75"/>
  <c r="F12" i="75"/>
  <c r="W11" i="75"/>
  <c r="V11" i="75"/>
  <c r="M11" i="75"/>
  <c r="N11" i="75" s="1"/>
  <c r="I11" i="75"/>
  <c r="F11" i="75"/>
  <c r="W10" i="75"/>
  <c r="V10" i="75"/>
  <c r="M10" i="75"/>
  <c r="N10" i="75" s="1"/>
  <c r="I10" i="75"/>
  <c r="W9" i="75"/>
  <c r="V9" i="75"/>
  <c r="M9" i="75"/>
  <c r="N9" i="75" s="1"/>
  <c r="I9" i="75"/>
  <c r="W8" i="75"/>
  <c r="V8" i="75"/>
  <c r="M8" i="75"/>
  <c r="N8" i="75" s="1"/>
  <c r="I8" i="75"/>
  <c r="W7" i="75"/>
  <c r="V7" i="75"/>
  <c r="M7" i="75"/>
  <c r="N7" i="75" s="1"/>
  <c r="I7" i="75"/>
  <c r="W6" i="75"/>
  <c r="V6" i="75"/>
  <c r="M6" i="75"/>
  <c r="N6" i="75" s="1"/>
  <c r="I6" i="75"/>
  <c r="AE5" i="75"/>
  <c r="W5" i="75"/>
  <c r="V5" i="75"/>
  <c r="M5" i="75"/>
  <c r="N5" i="75" s="1"/>
  <c r="I5" i="75"/>
  <c r="W4" i="75"/>
  <c r="V4" i="75"/>
  <c r="M4" i="75"/>
  <c r="N4" i="75" s="1"/>
  <c r="I4" i="75"/>
  <c r="F13" i="75" l="1"/>
  <c r="F26" i="75" s="1"/>
  <c r="F17" i="75"/>
  <c r="F21" i="75"/>
  <c r="F24" i="75"/>
  <c r="F14" i="75"/>
  <c r="F18" i="75"/>
  <c r="F22" i="75"/>
  <c r="F11" i="156"/>
  <c r="J11" i="156" s="1"/>
  <c r="V36" i="75"/>
  <c r="W33" i="75"/>
  <c r="U4" i="75"/>
  <c r="X4" i="75" s="1"/>
  <c r="Y4" i="75" s="1"/>
  <c r="Z4" i="75" s="1"/>
  <c r="Q4" i="75" s="1"/>
  <c r="P4" i="75"/>
  <c r="R4" i="75" s="1"/>
  <c r="U5" i="75"/>
  <c r="X5" i="75" s="1"/>
  <c r="Y5" i="75" s="1"/>
  <c r="Z5" i="75" s="1"/>
  <c r="Q5" i="75" s="1"/>
  <c r="P5" i="75"/>
  <c r="R5" i="75" s="1"/>
  <c r="U6" i="75"/>
  <c r="X6" i="75" s="1"/>
  <c r="Y6" i="75" s="1"/>
  <c r="Z6" i="75" s="1"/>
  <c r="Q6" i="75" s="1"/>
  <c r="P6" i="75"/>
  <c r="R6" i="75" s="1"/>
  <c r="U7" i="75"/>
  <c r="X7" i="75" s="1"/>
  <c r="Y7" i="75" s="1"/>
  <c r="Z7" i="75" s="1"/>
  <c r="Q7" i="75" s="1"/>
  <c r="P7" i="75"/>
  <c r="R7" i="75" s="1"/>
  <c r="U8" i="75"/>
  <c r="X8" i="75" s="1"/>
  <c r="Y8" i="75" s="1"/>
  <c r="Z8" i="75" s="1"/>
  <c r="Q8" i="75" s="1"/>
  <c r="P8" i="75"/>
  <c r="R8" i="75" s="1"/>
  <c r="U9" i="75"/>
  <c r="X9" i="75" s="1"/>
  <c r="Y9" i="75" s="1"/>
  <c r="Z9" i="75" s="1"/>
  <c r="Q9" i="75" s="1"/>
  <c r="P9" i="75"/>
  <c r="R9" i="75" s="1"/>
  <c r="U10" i="75"/>
  <c r="X10" i="75" s="1"/>
  <c r="Y10" i="75" s="1"/>
  <c r="Z10" i="75" s="1"/>
  <c r="Q10" i="75" s="1"/>
  <c r="P10" i="75"/>
  <c r="R10" i="75" s="1"/>
  <c r="U11" i="75"/>
  <c r="X11" i="75" s="1"/>
  <c r="Y11" i="75" s="1"/>
  <c r="Z11" i="75" s="1"/>
  <c r="Q11" i="75" s="1"/>
  <c r="P11" i="75"/>
  <c r="R11" i="75" s="1"/>
  <c r="U12" i="75"/>
  <c r="X12" i="75" s="1"/>
  <c r="Y12" i="75" s="1"/>
  <c r="Z12" i="75" s="1"/>
  <c r="Q12" i="75" s="1"/>
  <c r="P12" i="75"/>
  <c r="R12" i="75" s="1"/>
  <c r="G12" i="75"/>
  <c r="G13" i="75" s="1"/>
  <c r="G14" i="75" s="1"/>
  <c r="G15" i="75" s="1"/>
  <c r="G16" i="75" s="1"/>
  <c r="G17" i="75" s="1"/>
  <c r="G18" i="75" s="1"/>
  <c r="G19" i="75" s="1"/>
  <c r="G20" i="75" s="1"/>
  <c r="G21" i="75" s="1"/>
  <c r="G22" i="75" s="1"/>
  <c r="G23" i="75" s="1"/>
  <c r="G24" i="75" s="1"/>
  <c r="X27" i="75"/>
  <c r="W32" i="75"/>
  <c r="G25" i="75" l="1"/>
  <c r="S12" i="75"/>
  <c r="S11" i="75"/>
  <c r="S10" i="75"/>
  <c r="S9" i="75"/>
  <c r="S8" i="75"/>
  <c r="S7" i="75"/>
  <c r="S6" i="75"/>
  <c r="S5" i="75"/>
  <c r="S4" i="75"/>
  <c r="F31" i="75"/>
  <c r="F36" i="74" l="1"/>
  <c r="G33" i="74"/>
  <c r="W31" i="74"/>
  <c r="W30" i="74"/>
  <c r="W27" i="74"/>
  <c r="C27" i="74"/>
  <c r="E26" i="74"/>
  <c r="E27" i="74" s="1"/>
  <c r="F27" i="74" s="1"/>
  <c r="F25" i="74"/>
  <c r="W24" i="74"/>
  <c r="F23" i="74"/>
  <c r="W22" i="74"/>
  <c r="F20" i="74"/>
  <c r="F19" i="74"/>
  <c r="F16" i="74"/>
  <c r="F15" i="74"/>
  <c r="W12" i="74"/>
  <c r="V12" i="74"/>
  <c r="M12" i="74"/>
  <c r="N12" i="74" s="1"/>
  <c r="I12" i="74"/>
  <c r="F12" i="74"/>
  <c r="W11" i="74"/>
  <c r="V11" i="74"/>
  <c r="M11" i="74"/>
  <c r="N11" i="74" s="1"/>
  <c r="I11" i="74"/>
  <c r="F11" i="74"/>
  <c r="W10" i="74"/>
  <c r="V10" i="74"/>
  <c r="M10" i="74"/>
  <c r="N10" i="74" s="1"/>
  <c r="I10" i="74"/>
  <c r="W9" i="74"/>
  <c r="V9" i="74"/>
  <c r="M9" i="74"/>
  <c r="N9" i="74" s="1"/>
  <c r="I9" i="74"/>
  <c r="W8" i="74"/>
  <c r="V8" i="74"/>
  <c r="M8" i="74"/>
  <c r="N8" i="74" s="1"/>
  <c r="I8" i="74"/>
  <c r="W7" i="74"/>
  <c r="V7" i="74"/>
  <c r="M7" i="74"/>
  <c r="N7" i="74" s="1"/>
  <c r="I7" i="74"/>
  <c r="W6" i="74"/>
  <c r="V6" i="74"/>
  <c r="M6" i="74"/>
  <c r="N6" i="74" s="1"/>
  <c r="I6" i="74"/>
  <c r="AE5" i="74"/>
  <c r="W5" i="74"/>
  <c r="V5" i="74"/>
  <c r="M5" i="74"/>
  <c r="N5" i="74" s="1"/>
  <c r="I5" i="74"/>
  <c r="W4" i="74"/>
  <c r="V4" i="74"/>
  <c r="M4" i="74"/>
  <c r="N4" i="74" s="1"/>
  <c r="I4" i="74"/>
  <c r="F13" i="74" l="1"/>
  <c r="F26" i="74" s="1"/>
  <c r="F17" i="74"/>
  <c r="F21" i="74"/>
  <c r="F24" i="74"/>
  <c r="F14" i="74"/>
  <c r="F18" i="74"/>
  <c r="F22" i="74"/>
  <c r="F10" i="156"/>
  <c r="J10" i="156" s="1"/>
  <c r="V36" i="74"/>
  <c r="W33" i="74"/>
  <c r="U4" i="74"/>
  <c r="X4" i="74" s="1"/>
  <c r="Y4" i="74" s="1"/>
  <c r="Z4" i="74" s="1"/>
  <c r="Q4" i="74" s="1"/>
  <c r="P4" i="74"/>
  <c r="R4" i="74" s="1"/>
  <c r="U5" i="74"/>
  <c r="X5" i="74" s="1"/>
  <c r="Y5" i="74" s="1"/>
  <c r="Z5" i="74" s="1"/>
  <c r="Q5" i="74" s="1"/>
  <c r="P5" i="74"/>
  <c r="R5" i="74" s="1"/>
  <c r="U6" i="74"/>
  <c r="X6" i="74" s="1"/>
  <c r="Y6" i="74" s="1"/>
  <c r="Z6" i="74" s="1"/>
  <c r="Q6" i="74" s="1"/>
  <c r="P6" i="74"/>
  <c r="R6" i="74" s="1"/>
  <c r="U7" i="74"/>
  <c r="X7" i="74" s="1"/>
  <c r="Y7" i="74" s="1"/>
  <c r="Z7" i="74" s="1"/>
  <c r="Q7" i="74" s="1"/>
  <c r="P7" i="74"/>
  <c r="R7" i="74" s="1"/>
  <c r="U8" i="74"/>
  <c r="X8" i="74" s="1"/>
  <c r="Y8" i="74" s="1"/>
  <c r="Z8" i="74" s="1"/>
  <c r="Q8" i="74" s="1"/>
  <c r="P8" i="74"/>
  <c r="R8" i="74" s="1"/>
  <c r="U9" i="74"/>
  <c r="X9" i="74" s="1"/>
  <c r="Y9" i="74" s="1"/>
  <c r="Z9" i="74" s="1"/>
  <c r="Q9" i="74" s="1"/>
  <c r="P9" i="74"/>
  <c r="R9" i="74" s="1"/>
  <c r="U10" i="74"/>
  <c r="X10" i="74" s="1"/>
  <c r="Y10" i="74" s="1"/>
  <c r="Z10" i="74" s="1"/>
  <c r="Q10" i="74" s="1"/>
  <c r="P10" i="74"/>
  <c r="R10" i="74" s="1"/>
  <c r="U11" i="74"/>
  <c r="X11" i="74" s="1"/>
  <c r="Y11" i="74" s="1"/>
  <c r="Z11" i="74" s="1"/>
  <c r="Q11" i="74" s="1"/>
  <c r="P11" i="74"/>
  <c r="R11" i="74" s="1"/>
  <c r="U12" i="74"/>
  <c r="X12" i="74" s="1"/>
  <c r="Y12" i="74" s="1"/>
  <c r="Z12" i="74" s="1"/>
  <c r="Q12" i="74" s="1"/>
  <c r="P12" i="74"/>
  <c r="R12" i="74" s="1"/>
  <c r="G12" i="74"/>
  <c r="G13" i="74" s="1"/>
  <c r="G14" i="74" s="1"/>
  <c r="G15" i="74" s="1"/>
  <c r="G16" i="74" s="1"/>
  <c r="G17" i="74" s="1"/>
  <c r="G18" i="74" s="1"/>
  <c r="G19" i="74" s="1"/>
  <c r="G20" i="74" s="1"/>
  <c r="G21" i="74" s="1"/>
  <c r="G22" i="74" s="1"/>
  <c r="G23" i="74" s="1"/>
  <c r="G24" i="74" s="1"/>
  <c r="X27" i="74"/>
  <c r="W32" i="74"/>
  <c r="G25" i="74" l="1"/>
  <c r="S12" i="74"/>
  <c r="S11" i="74"/>
  <c r="S10" i="74"/>
  <c r="S9" i="74"/>
  <c r="S8" i="74"/>
  <c r="S7" i="74"/>
  <c r="S6" i="74"/>
  <c r="S5" i="74"/>
  <c r="S4" i="74"/>
  <c r="F31" i="74"/>
  <c r="F36" i="73" l="1"/>
  <c r="G33" i="73"/>
  <c r="W31" i="73"/>
  <c r="W30" i="73"/>
  <c r="W27" i="73"/>
  <c r="C27" i="73"/>
  <c r="E26" i="73"/>
  <c r="E27" i="73" s="1"/>
  <c r="F27" i="73" s="1"/>
  <c r="F25" i="73"/>
  <c r="W24" i="73"/>
  <c r="F9" i="156" s="1"/>
  <c r="J9" i="156" s="1"/>
  <c r="F23" i="73"/>
  <c r="W22" i="73"/>
  <c r="F22" i="73"/>
  <c r="F20" i="73"/>
  <c r="F19" i="73"/>
  <c r="F18" i="73"/>
  <c r="F16" i="73"/>
  <c r="F15" i="73"/>
  <c r="F14" i="73"/>
  <c r="W12" i="73"/>
  <c r="V12" i="73"/>
  <c r="M12" i="73"/>
  <c r="N12" i="73" s="1"/>
  <c r="I12" i="73"/>
  <c r="F12" i="73"/>
  <c r="W11" i="73"/>
  <c r="V11" i="73"/>
  <c r="M11" i="73"/>
  <c r="N11" i="73" s="1"/>
  <c r="I11" i="73"/>
  <c r="F11" i="73"/>
  <c r="W10" i="73"/>
  <c r="V10" i="73"/>
  <c r="M10" i="73"/>
  <c r="N10" i="73" s="1"/>
  <c r="I10" i="73"/>
  <c r="W9" i="73"/>
  <c r="V9" i="73"/>
  <c r="M9" i="73"/>
  <c r="N9" i="73" s="1"/>
  <c r="I9" i="73"/>
  <c r="W8" i="73"/>
  <c r="V8" i="73"/>
  <c r="M8" i="73"/>
  <c r="N8" i="73" s="1"/>
  <c r="I8" i="73"/>
  <c r="W7" i="73"/>
  <c r="V7" i="73"/>
  <c r="M7" i="73"/>
  <c r="N7" i="73" s="1"/>
  <c r="I7" i="73"/>
  <c r="W6" i="73"/>
  <c r="V6" i="73"/>
  <c r="M6" i="73"/>
  <c r="N6" i="73" s="1"/>
  <c r="I6" i="73"/>
  <c r="AE5" i="73"/>
  <c r="W5" i="73"/>
  <c r="V5" i="73"/>
  <c r="M5" i="73"/>
  <c r="N5" i="73" s="1"/>
  <c r="I5" i="73"/>
  <c r="W4" i="73"/>
  <c r="V4" i="73"/>
  <c r="M4" i="73"/>
  <c r="N4" i="73" s="1"/>
  <c r="I4" i="73"/>
  <c r="F36" i="72"/>
  <c r="G33" i="72"/>
  <c r="C27" i="72"/>
  <c r="E26" i="72"/>
  <c r="E27" i="72" s="1"/>
  <c r="F27" i="72" s="1"/>
  <c r="F25" i="72"/>
  <c r="F24" i="72"/>
  <c r="F23" i="72"/>
  <c r="F22" i="72"/>
  <c r="F21" i="72"/>
  <c r="F20" i="72"/>
  <c r="F19" i="72"/>
  <c r="F18" i="72"/>
  <c r="F17" i="72"/>
  <c r="F16" i="72"/>
  <c r="F15" i="72"/>
  <c r="F14" i="72"/>
  <c r="F13" i="72"/>
  <c r="W12" i="72"/>
  <c r="V12" i="72"/>
  <c r="M12" i="72"/>
  <c r="N12" i="72" s="1"/>
  <c r="I12" i="72"/>
  <c r="F12" i="72"/>
  <c r="W11" i="72"/>
  <c r="V11" i="72"/>
  <c r="M11" i="72"/>
  <c r="N11" i="72" s="1"/>
  <c r="I11" i="72"/>
  <c r="F11" i="72"/>
  <c r="W10" i="72"/>
  <c r="V10" i="72"/>
  <c r="M10" i="72"/>
  <c r="N10" i="72" s="1"/>
  <c r="I10" i="72"/>
  <c r="W9" i="72"/>
  <c r="V9" i="72"/>
  <c r="M9" i="72"/>
  <c r="N9" i="72" s="1"/>
  <c r="I9" i="72"/>
  <c r="W8" i="72"/>
  <c r="V8" i="72"/>
  <c r="M8" i="72"/>
  <c r="N8" i="72" s="1"/>
  <c r="I8" i="72"/>
  <c r="W7" i="72"/>
  <c r="V7" i="72"/>
  <c r="M7" i="72"/>
  <c r="N7" i="72" s="1"/>
  <c r="I7" i="72"/>
  <c r="W6" i="72"/>
  <c r="V6" i="72"/>
  <c r="M6" i="72"/>
  <c r="N6" i="72" s="1"/>
  <c r="I6" i="72"/>
  <c r="AE5" i="72"/>
  <c r="W5" i="72"/>
  <c r="V5" i="72"/>
  <c r="M5" i="72"/>
  <c r="N5" i="72" s="1"/>
  <c r="I5" i="72"/>
  <c r="W4" i="72"/>
  <c r="V4" i="72"/>
  <c r="M4" i="72"/>
  <c r="N4" i="72" s="1"/>
  <c r="I4" i="72"/>
  <c r="F26" i="72" l="1"/>
  <c r="F13" i="73"/>
  <c r="F17" i="73"/>
  <c r="F26" i="73" s="1"/>
  <c r="F21" i="73"/>
  <c r="F24" i="73"/>
  <c r="V36" i="73"/>
  <c r="W33" i="73"/>
  <c r="U4" i="73"/>
  <c r="X4" i="73" s="1"/>
  <c r="Y4" i="73" s="1"/>
  <c r="Z4" i="73" s="1"/>
  <c r="Q4" i="73" s="1"/>
  <c r="P4" i="73"/>
  <c r="R4" i="73" s="1"/>
  <c r="U5" i="73"/>
  <c r="X5" i="73" s="1"/>
  <c r="Y5" i="73" s="1"/>
  <c r="Z5" i="73" s="1"/>
  <c r="Q5" i="73" s="1"/>
  <c r="P5" i="73"/>
  <c r="R5" i="73" s="1"/>
  <c r="U6" i="73"/>
  <c r="X6" i="73" s="1"/>
  <c r="Y6" i="73" s="1"/>
  <c r="Z6" i="73" s="1"/>
  <c r="Q6" i="73" s="1"/>
  <c r="P6" i="73"/>
  <c r="R6" i="73" s="1"/>
  <c r="U7" i="73"/>
  <c r="X7" i="73" s="1"/>
  <c r="Y7" i="73" s="1"/>
  <c r="Z7" i="73" s="1"/>
  <c r="Q7" i="73" s="1"/>
  <c r="P7" i="73"/>
  <c r="R7" i="73" s="1"/>
  <c r="U8" i="73"/>
  <c r="X8" i="73" s="1"/>
  <c r="Y8" i="73" s="1"/>
  <c r="Z8" i="73" s="1"/>
  <c r="Q8" i="73" s="1"/>
  <c r="P8" i="73"/>
  <c r="R8" i="73" s="1"/>
  <c r="U9" i="73"/>
  <c r="X9" i="73" s="1"/>
  <c r="Y9" i="73" s="1"/>
  <c r="Z9" i="73" s="1"/>
  <c r="Q9" i="73" s="1"/>
  <c r="P9" i="73"/>
  <c r="R9" i="73" s="1"/>
  <c r="U10" i="73"/>
  <c r="X10" i="73" s="1"/>
  <c r="Y10" i="73" s="1"/>
  <c r="Z10" i="73" s="1"/>
  <c r="Q10" i="73" s="1"/>
  <c r="P10" i="73"/>
  <c r="R10" i="73" s="1"/>
  <c r="U11" i="73"/>
  <c r="X11" i="73" s="1"/>
  <c r="Y11" i="73" s="1"/>
  <c r="Z11" i="73" s="1"/>
  <c r="Q11" i="73" s="1"/>
  <c r="P11" i="73"/>
  <c r="R11" i="73" s="1"/>
  <c r="U12" i="73"/>
  <c r="X12" i="73" s="1"/>
  <c r="Y12" i="73" s="1"/>
  <c r="Z12" i="73" s="1"/>
  <c r="Q12" i="73" s="1"/>
  <c r="P12" i="73"/>
  <c r="R12" i="73" s="1"/>
  <c r="G12" i="73"/>
  <c r="G13" i="73" s="1"/>
  <c r="G14" i="73" s="1"/>
  <c r="G15" i="73" s="1"/>
  <c r="G16" i="73" s="1"/>
  <c r="G17" i="73" s="1"/>
  <c r="G18" i="73" s="1"/>
  <c r="G19" i="73" s="1"/>
  <c r="G20" i="73" s="1"/>
  <c r="G21" i="73" s="1"/>
  <c r="G22" i="73" s="1"/>
  <c r="G23" i="73" s="1"/>
  <c r="X27" i="73"/>
  <c r="W32" i="73"/>
  <c r="U4" i="72"/>
  <c r="X4" i="72" s="1"/>
  <c r="Y4" i="72" s="1"/>
  <c r="Z4" i="72" s="1"/>
  <c r="Q4" i="72" s="1"/>
  <c r="P4" i="72"/>
  <c r="R4" i="72" s="1"/>
  <c r="U5" i="72"/>
  <c r="X5" i="72" s="1"/>
  <c r="Y5" i="72" s="1"/>
  <c r="Z5" i="72" s="1"/>
  <c r="Q5" i="72" s="1"/>
  <c r="P5" i="72"/>
  <c r="R5" i="72" s="1"/>
  <c r="U6" i="72"/>
  <c r="X6" i="72" s="1"/>
  <c r="Y6" i="72" s="1"/>
  <c r="Z6" i="72" s="1"/>
  <c r="Q6" i="72" s="1"/>
  <c r="P6" i="72"/>
  <c r="R6" i="72" s="1"/>
  <c r="U7" i="72"/>
  <c r="X7" i="72" s="1"/>
  <c r="Y7" i="72" s="1"/>
  <c r="Z7" i="72" s="1"/>
  <c r="Q7" i="72" s="1"/>
  <c r="P7" i="72"/>
  <c r="R7" i="72" s="1"/>
  <c r="U8" i="72"/>
  <c r="X8" i="72" s="1"/>
  <c r="Y8" i="72" s="1"/>
  <c r="Z8" i="72" s="1"/>
  <c r="Q8" i="72" s="1"/>
  <c r="P8" i="72"/>
  <c r="R8" i="72" s="1"/>
  <c r="U9" i="72"/>
  <c r="X9" i="72" s="1"/>
  <c r="Y9" i="72" s="1"/>
  <c r="Z9" i="72" s="1"/>
  <c r="Q9" i="72" s="1"/>
  <c r="P9" i="72"/>
  <c r="R9" i="72" s="1"/>
  <c r="U10" i="72"/>
  <c r="X10" i="72" s="1"/>
  <c r="Y10" i="72" s="1"/>
  <c r="Z10" i="72" s="1"/>
  <c r="Q10" i="72" s="1"/>
  <c r="P10" i="72"/>
  <c r="R10" i="72" s="1"/>
  <c r="U11" i="72"/>
  <c r="X11" i="72" s="1"/>
  <c r="Y11" i="72" s="1"/>
  <c r="Z11" i="72" s="1"/>
  <c r="Q11" i="72" s="1"/>
  <c r="P11" i="72"/>
  <c r="R11" i="72" s="1"/>
  <c r="U12" i="72"/>
  <c r="X12" i="72" s="1"/>
  <c r="Y12" i="72" s="1"/>
  <c r="Z12" i="72" s="1"/>
  <c r="Q12" i="72" s="1"/>
  <c r="P12" i="72"/>
  <c r="R12" i="72" s="1"/>
  <c r="G12" i="72"/>
  <c r="G13" i="72" s="1"/>
  <c r="G14" i="72" s="1"/>
  <c r="G15" i="72" s="1"/>
  <c r="G16" i="72" s="1"/>
  <c r="G17" i="72" s="1"/>
  <c r="G18" i="72" s="1"/>
  <c r="G19" i="72" s="1"/>
  <c r="G20" i="72" s="1"/>
  <c r="G21" i="72" s="1"/>
  <c r="G22" i="72" s="1"/>
  <c r="G23" i="72" s="1"/>
  <c r="G24" i="72" s="1"/>
  <c r="G24" i="73" l="1"/>
  <c r="G25" i="73"/>
  <c r="S12" i="73"/>
  <c r="S11" i="73"/>
  <c r="S10" i="73"/>
  <c r="S9" i="73"/>
  <c r="S8" i="73"/>
  <c r="S7" i="73"/>
  <c r="S6" i="73"/>
  <c r="S5" i="73"/>
  <c r="S4" i="73"/>
  <c r="F31" i="73"/>
  <c r="G25" i="72"/>
  <c r="S12" i="72"/>
  <c r="S11" i="72"/>
  <c r="S10" i="72"/>
  <c r="S9" i="72"/>
  <c r="S8" i="72"/>
  <c r="S7" i="72"/>
  <c r="S6" i="72"/>
  <c r="S5" i="72"/>
  <c r="S4" i="72"/>
  <c r="F31" i="72"/>
  <c r="F36" i="71" l="1"/>
  <c r="G33" i="71"/>
  <c r="C27" i="71"/>
  <c r="E26" i="71"/>
  <c r="E27" i="71" s="1"/>
  <c r="F27" i="71" s="1"/>
  <c r="F22" i="71"/>
  <c r="F18" i="71"/>
  <c r="F14" i="71"/>
  <c r="W12" i="71"/>
  <c r="V12" i="71"/>
  <c r="M12" i="71"/>
  <c r="N12" i="71" s="1"/>
  <c r="I12" i="71"/>
  <c r="W11" i="71"/>
  <c r="V11" i="71"/>
  <c r="M11" i="71"/>
  <c r="N11" i="71" s="1"/>
  <c r="I11" i="71"/>
  <c r="W10" i="71"/>
  <c r="V10" i="71"/>
  <c r="M10" i="71"/>
  <c r="N10" i="71" s="1"/>
  <c r="I10" i="71"/>
  <c r="W9" i="71"/>
  <c r="V9" i="71"/>
  <c r="M9" i="71"/>
  <c r="N9" i="71" s="1"/>
  <c r="I9" i="71"/>
  <c r="W8" i="71"/>
  <c r="V8" i="71"/>
  <c r="M8" i="71"/>
  <c r="N8" i="71" s="1"/>
  <c r="I8" i="71"/>
  <c r="W7" i="71"/>
  <c r="V7" i="71"/>
  <c r="M7" i="71"/>
  <c r="N7" i="71" s="1"/>
  <c r="I7" i="71"/>
  <c r="W6" i="71"/>
  <c r="V6" i="71"/>
  <c r="M6" i="71"/>
  <c r="N6" i="71" s="1"/>
  <c r="I6" i="71"/>
  <c r="AE5" i="71"/>
  <c r="W5" i="71"/>
  <c r="V5" i="71"/>
  <c r="M5" i="71"/>
  <c r="N5" i="71" s="1"/>
  <c r="I5" i="71"/>
  <c r="W4" i="71"/>
  <c r="V4" i="71"/>
  <c r="M4" i="71"/>
  <c r="N4" i="71" s="1"/>
  <c r="I4" i="71"/>
  <c r="F11" i="71" l="1"/>
  <c r="F15" i="71"/>
  <c r="F19" i="71"/>
  <c r="F23" i="71"/>
  <c r="F12" i="71"/>
  <c r="F16" i="71"/>
  <c r="F20" i="71"/>
  <c r="F24" i="71"/>
  <c r="F13" i="71"/>
  <c r="F17" i="71"/>
  <c r="F21" i="71"/>
  <c r="F25" i="71"/>
  <c r="U4" i="71"/>
  <c r="X4" i="71" s="1"/>
  <c r="Y4" i="71" s="1"/>
  <c r="Z4" i="71" s="1"/>
  <c r="Q4" i="71" s="1"/>
  <c r="P4" i="71"/>
  <c r="R4" i="71" s="1"/>
  <c r="U5" i="71"/>
  <c r="X5" i="71" s="1"/>
  <c r="Y5" i="71" s="1"/>
  <c r="Z5" i="71" s="1"/>
  <c r="Q5" i="71" s="1"/>
  <c r="P5" i="71"/>
  <c r="R5" i="71" s="1"/>
  <c r="U6" i="71"/>
  <c r="X6" i="71" s="1"/>
  <c r="Y6" i="71" s="1"/>
  <c r="Z6" i="71" s="1"/>
  <c r="Q6" i="71" s="1"/>
  <c r="P6" i="71"/>
  <c r="R6" i="71" s="1"/>
  <c r="U7" i="71"/>
  <c r="X7" i="71" s="1"/>
  <c r="Y7" i="71" s="1"/>
  <c r="Z7" i="71" s="1"/>
  <c r="Q7" i="71" s="1"/>
  <c r="P7" i="71"/>
  <c r="R7" i="71" s="1"/>
  <c r="U8" i="71"/>
  <c r="X8" i="71" s="1"/>
  <c r="Y8" i="71" s="1"/>
  <c r="Z8" i="71" s="1"/>
  <c r="Q8" i="71" s="1"/>
  <c r="P8" i="71"/>
  <c r="R8" i="71" s="1"/>
  <c r="U9" i="71"/>
  <c r="X9" i="71" s="1"/>
  <c r="Y9" i="71" s="1"/>
  <c r="Z9" i="71" s="1"/>
  <c r="Q9" i="71" s="1"/>
  <c r="P9" i="71"/>
  <c r="R9" i="71" s="1"/>
  <c r="U10" i="71"/>
  <c r="X10" i="71" s="1"/>
  <c r="Y10" i="71" s="1"/>
  <c r="Z10" i="71" s="1"/>
  <c r="Q10" i="71" s="1"/>
  <c r="P10" i="71"/>
  <c r="R10" i="71" s="1"/>
  <c r="U11" i="71"/>
  <c r="X11" i="71" s="1"/>
  <c r="Y11" i="71" s="1"/>
  <c r="Z11" i="71" s="1"/>
  <c r="Q11" i="71" s="1"/>
  <c r="P11" i="71"/>
  <c r="R11" i="71" s="1"/>
  <c r="U12" i="71"/>
  <c r="X12" i="71" s="1"/>
  <c r="Y12" i="71" s="1"/>
  <c r="Z12" i="71" s="1"/>
  <c r="Q12" i="71" s="1"/>
  <c r="P12" i="71"/>
  <c r="R12" i="71" s="1"/>
  <c r="G12" i="71"/>
  <c r="G13" i="71" s="1"/>
  <c r="G14" i="71" s="1"/>
  <c r="G15" i="71" s="1"/>
  <c r="G16" i="71" s="1"/>
  <c r="G17" i="71" s="1"/>
  <c r="G18" i="71" s="1"/>
  <c r="G19" i="71" s="1"/>
  <c r="G20" i="71" s="1"/>
  <c r="G21" i="71" s="1"/>
  <c r="G22" i="71" s="1"/>
  <c r="G23" i="71" s="1"/>
  <c r="G24" i="71" s="1"/>
  <c r="F26" i="71" l="1"/>
  <c r="G25" i="71"/>
  <c r="S12" i="71"/>
  <c r="S11" i="71"/>
  <c r="S10" i="71"/>
  <c r="S9" i="71"/>
  <c r="S8" i="71"/>
  <c r="S7" i="71"/>
  <c r="S6" i="71"/>
  <c r="S5" i="71"/>
  <c r="S4" i="71"/>
  <c r="F31" i="71"/>
  <c r="F36" i="70" l="1"/>
  <c r="G33" i="70"/>
  <c r="C27" i="70"/>
  <c r="E26" i="70"/>
  <c r="E27" i="70" s="1"/>
  <c r="F27" i="70" s="1"/>
  <c r="F22" i="70"/>
  <c r="F18" i="70"/>
  <c r="F14" i="70"/>
  <c r="W12" i="70"/>
  <c r="V12" i="70"/>
  <c r="M12" i="70"/>
  <c r="N12" i="70" s="1"/>
  <c r="I12" i="70"/>
  <c r="W11" i="70"/>
  <c r="V11" i="70"/>
  <c r="M11" i="70"/>
  <c r="N11" i="70" s="1"/>
  <c r="I11" i="70"/>
  <c r="W10" i="70"/>
  <c r="V10" i="70"/>
  <c r="M10" i="70"/>
  <c r="N10" i="70" s="1"/>
  <c r="I10" i="70"/>
  <c r="W9" i="70"/>
  <c r="V9" i="70"/>
  <c r="M9" i="70"/>
  <c r="N9" i="70" s="1"/>
  <c r="I9" i="70"/>
  <c r="W8" i="70"/>
  <c r="V8" i="70"/>
  <c r="M8" i="70"/>
  <c r="N8" i="70" s="1"/>
  <c r="I8" i="70"/>
  <c r="W7" i="70"/>
  <c r="V7" i="70"/>
  <c r="M7" i="70"/>
  <c r="N7" i="70" s="1"/>
  <c r="I7" i="70"/>
  <c r="W6" i="70"/>
  <c r="V6" i="70"/>
  <c r="M6" i="70"/>
  <c r="N6" i="70" s="1"/>
  <c r="I6" i="70"/>
  <c r="AE5" i="70"/>
  <c r="W5" i="70"/>
  <c r="V5" i="70"/>
  <c r="M5" i="70"/>
  <c r="N5" i="70" s="1"/>
  <c r="I5" i="70"/>
  <c r="W4" i="70"/>
  <c r="V4" i="70"/>
  <c r="M4" i="70"/>
  <c r="N4" i="70" s="1"/>
  <c r="I4" i="70"/>
  <c r="F11" i="70" l="1"/>
  <c r="F15" i="70"/>
  <c r="F19" i="70"/>
  <c r="F23" i="70"/>
  <c r="F12" i="70"/>
  <c r="F16" i="70"/>
  <c r="F20" i="70"/>
  <c r="F24" i="70"/>
  <c r="F13" i="70"/>
  <c r="F17" i="70"/>
  <c r="F21" i="70"/>
  <c r="F25" i="70"/>
  <c r="U4" i="70"/>
  <c r="X4" i="70" s="1"/>
  <c r="Y4" i="70" s="1"/>
  <c r="Z4" i="70" s="1"/>
  <c r="Q4" i="70" s="1"/>
  <c r="P4" i="70"/>
  <c r="R4" i="70" s="1"/>
  <c r="U5" i="70"/>
  <c r="X5" i="70" s="1"/>
  <c r="Y5" i="70" s="1"/>
  <c r="Z5" i="70" s="1"/>
  <c r="Q5" i="70" s="1"/>
  <c r="P5" i="70"/>
  <c r="R5" i="70" s="1"/>
  <c r="U6" i="70"/>
  <c r="X6" i="70" s="1"/>
  <c r="Y6" i="70" s="1"/>
  <c r="Z6" i="70" s="1"/>
  <c r="Q6" i="70" s="1"/>
  <c r="P6" i="70"/>
  <c r="R6" i="70" s="1"/>
  <c r="U7" i="70"/>
  <c r="X7" i="70" s="1"/>
  <c r="Y7" i="70" s="1"/>
  <c r="Z7" i="70" s="1"/>
  <c r="Q7" i="70" s="1"/>
  <c r="P7" i="70"/>
  <c r="R7" i="70" s="1"/>
  <c r="U8" i="70"/>
  <c r="X8" i="70" s="1"/>
  <c r="Y8" i="70" s="1"/>
  <c r="Z8" i="70" s="1"/>
  <c r="Q8" i="70" s="1"/>
  <c r="P8" i="70"/>
  <c r="R8" i="70" s="1"/>
  <c r="U9" i="70"/>
  <c r="X9" i="70" s="1"/>
  <c r="Y9" i="70" s="1"/>
  <c r="Z9" i="70" s="1"/>
  <c r="Q9" i="70" s="1"/>
  <c r="P9" i="70"/>
  <c r="R9" i="70" s="1"/>
  <c r="U10" i="70"/>
  <c r="X10" i="70" s="1"/>
  <c r="Y10" i="70" s="1"/>
  <c r="Z10" i="70" s="1"/>
  <c r="Q10" i="70" s="1"/>
  <c r="P10" i="70"/>
  <c r="R10" i="70" s="1"/>
  <c r="U11" i="70"/>
  <c r="X11" i="70" s="1"/>
  <c r="Y11" i="70" s="1"/>
  <c r="Z11" i="70" s="1"/>
  <c r="Q11" i="70" s="1"/>
  <c r="P11" i="70"/>
  <c r="R11" i="70" s="1"/>
  <c r="U12" i="70"/>
  <c r="X12" i="70" s="1"/>
  <c r="Y12" i="70" s="1"/>
  <c r="Z12" i="70" s="1"/>
  <c r="Q12" i="70" s="1"/>
  <c r="P12" i="70"/>
  <c r="R12" i="70" s="1"/>
  <c r="G12" i="70"/>
  <c r="G13" i="70" s="1"/>
  <c r="G14" i="70" s="1"/>
  <c r="G15" i="70" s="1"/>
  <c r="G16" i="70" s="1"/>
  <c r="G17" i="70" s="1"/>
  <c r="G18" i="70" s="1"/>
  <c r="G19" i="70" s="1"/>
  <c r="G20" i="70" s="1"/>
  <c r="G21" i="70" s="1"/>
  <c r="G22" i="70" s="1"/>
  <c r="G23" i="70" s="1"/>
  <c r="G24" i="70" s="1"/>
  <c r="F26" i="70" l="1"/>
  <c r="G25" i="70"/>
  <c r="S12" i="70"/>
  <c r="S11" i="70"/>
  <c r="S10" i="70"/>
  <c r="S9" i="70"/>
  <c r="S8" i="70"/>
  <c r="S7" i="70"/>
  <c r="S6" i="70"/>
  <c r="S5" i="70"/>
  <c r="S4" i="70"/>
  <c r="F31" i="70"/>
  <c r="F36" i="69" l="1"/>
  <c r="G33" i="69"/>
  <c r="C27" i="69"/>
  <c r="E26" i="69"/>
  <c r="E27" i="69" s="1"/>
  <c r="F27" i="69" s="1"/>
  <c r="W12" i="69"/>
  <c r="V12" i="69"/>
  <c r="M12" i="69"/>
  <c r="N12" i="69" s="1"/>
  <c r="I12" i="69"/>
  <c r="W11" i="69"/>
  <c r="V11" i="69"/>
  <c r="M11" i="69"/>
  <c r="N11" i="69" s="1"/>
  <c r="I11" i="69"/>
  <c r="W10" i="69"/>
  <c r="V10" i="69"/>
  <c r="M10" i="69"/>
  <c r="N10" i="69" s="1"/>
  <c r="I10" i="69"/>
  <c r="W9" i="69"/>
  <c r="V9" i="69"/>
  <c r="M9" i="69"/>
  <c r="N9" i="69" s="1"/>
  <c r="I9" i="69"/>
  <c r="W8" i="69"/>
  <c r="V8" i="69"/>
  <c r="M8" i="69"/>
  <c r="N8" i="69" s="1"/>
  <c r="I8" i="69"/>
  <c r="W7" i="69"/>
  <c r="V7" i="69"/>
  <c r="M7" i="69"/>
  <c r="N7" i="69" s="1"/>
  <c r="I7" i="69"/>
  <c r="W6" i="69"/>
  <c r="V6" i="69"/>
  <c r="M6" i="69"/>
  <c r="N6" i="69" s="1"/>
  <c r="I6" i="69"/>
  <c r="AE5" i="69"/>
  <c r="W5" i="69"/>
  <c r="V5" i="69"/>
  <c r="M5" i="69"/>
  <c r="N5" i="69" s="1"/>
  <c r="I5" i="69"/>
  <c r="W4" i="69"/>
  <c r="V4" i="69"/>
  <c r="M4" i="69"/>
  <c r="N4" i="69" s="1"/>
  <c r="I4" i="69"/>
  <c r="F14" i="69" l="1"/>
  <c r="F18" i="69"/>
  <c r="F22" i="69"/>
  <c r="F11" i="69"/>
  <c r="F12" i="69"/>
  <c r="F16" i="69"/>
  <c r="F20" i="69"/>
  <c r="F24" i="69"/>
  <c r="F15" i="69"/>
  <c r="F19" i="69"/>
  <c r="F23" i="69"/>
  <c r="F13" i="69"/>
  <c r="F17" i="69"/>
  <c r="F21" i="69"/>
  <c r="F25" i="69"/>
  <c r="U4" i="69"/>
  <c r="X4" i="69" s="1"/>
  <c r="Y4" i="69" s="1"/>
  <c r="Z4" i="69" s="1"/>
  <c r="Q4" i="69" s="1"/>
  <c r="P4" i="69"/>
  <c r="R4" i="69" s="1"/>
  <c r="U5" i="69"/>
  <c r="X5" i="69" s="1"/>
  <c r="Y5" i="69" s="1"/>
  <c r="Z5" i="69" s="1"/>
  <c r="Q5" i="69" s="1"/>
  <c r="P5" i="69"/>
  <c r="R5" i="69" s="1"/>
  <c r="U6" i="69"/>
  <c r="X6" i="69" s="1"/>
  <c r="Y6" i="69" s="1"/>
  <c r="Z6" i="69" s="1"/>
  <c r="Q6" i="69" s="1"/>
  <c r="P6" i="69"/>
  <c r="R6" i="69" s="1"/>
  <c r="U7" i="69"/>
  <c r="X7" i="69" s="1"/>
  <c r="Y7" i="69" s="1"/>
  <c r="Z7" i="69" s="1"/>
  <c r="Q7" i="69" s="1"/>
  <c r="P7" i="69"/>
  <c r="R7" i="69" s="1"/>
  <c r="U8" i="69"/>
  <c r="X8" i="69" s="1"/>
  <c r="Y8" i="69" s="1"/>
  <c r="Z8" i="69" s="1"/>
  <c r="Q8" i="69" s="1"/>
  <c r="P8" i="69"/>
  <c r="R8" i="69" s="1"/>
  <c r="U9" i="69"/>
  <c r="X9" i="69" s="1"/>
  <c r="Y9" i="69" s="1"/>
  <c r="Z9" i="69" s="1"/>
  <c r="Q9" i="69" s="1"/>
  <c r="P9" i="69"/>
  <c r="R9" i="69" s="1"/>
  <c r="U10" i="69"/>
  <c r="X10" i="69" s="1"/>
  <c r="Y10" i="69" s="1"/>
  <c r="Z10" i="69" s="1"/>
  <c r="Q10" i="69" s="1"/>
  <c r="P10" i="69"/>
  <c r="R10" i="69" s="1"/>
  <c r="U11" i="69"/>
  <c r="X11" i="69" s="1"/>
  <c r="Y11" i="69" s="1"/>
  <c r="Z11" i="69" s="1"/>
  <c r="Q11" i="69" s="1"/>
  <c r="P11" i="69"/>
  <c r="R11" i="69" s="1"/>
  <c r="U12" i="69"/>
  <c r="X12" i="69" s="1"/>
  <c r="Y12" i="69" s="1"/>
  <c r="Z12" i="69" s="1"/>
  <c r="Q12" i="69" s="1"/>
  <c r="P12" i="69"/>
  <c r="R12" i="69" s="1"/>
  <c r="G12" i="69"/>
  <c r="G13" i="69" s="1"/>
  <c r="G14" i="69" s="1"/>
  <c r="G15" i="69" s="1"/>
  <c r="G16" i="69" s="1"/>
  <c r="G17" i="69" s="1"/>
  <c r="G18" i="69" s="1"/>
  <c r="G19" i="69" s="1"/>
  <c r="G20" i="69" s="1"/>
  <c r="G21" i="69" s="1"/>
  <c r="G22" i="69" s="1"/>
  <c r="G23" i="69" s="1"/>
  <c r="G24" i="69" s="1"/>
  <c r="F26" i="69" l="1"/>
  <c r="G25" i="69"/>
  <c r="S12" i="69"/>
  <c r="S11" i="69"/>
  <c r="S10" i="69"/>
  <c r="S9" i="69"/>
  <c r="S8" i="69"/>
  <c r="S7" i="69"/>
  <c r="S6" i="69"/>
  <c r="S5" i="69"/>
  <c r="S4" i="69"/>
  <c r="F31" i="69"/>
  <c r="F36" i="68" l="1"/>
  <c r="G33" i="68"/>
  <c r="C27" i="68"/>
  <c r="E26" i="68"/>
  <c r="E27" i="68" s="1"/>
  <c r="F27" i="68" s="1"/>
  <c r="W12" i="68"/>
  <c r="V12" i="68"/>
  <c r="M12" i="68"/>
  <c r="N12" i="68" s="1"/>
  <c r="I12" i="68"/>
  <c r="W11" i="68"/>
  <c r="V11" i="68"/>
  <c r="M11" i="68"/>
  <c r="N11" i="68" s="1"/>
  <c r="I11" i="68"/>
  <c r="W10" i="68"/>
  <c r="V10" i="68"/>
  <c r="M10" i="68"/>
  <c r="N10" i="68" s="1"/>
  <c r="I10" i="68"/>
  <c r="W9" i="68"/>
  <c r="V9" i="68"/>
  <c r="M9" i="68"/>
  <c r="N9" i="68" s="1"/>
  <c r="I9" i="68"/>
  <c r="W8" i="68"/>
  <c r="V8" i="68"/>
  <c r="M8" i="68"/>
  <c r="N8" i="68" s="1"/>
  <c r="I8" i="68"/>
  <c r="W7" i="68"/>
  <c r="V7" i="68"/>
  <c r="M7" i="68"/>
  <c r="N7" i="68" s="1"/>
  <c r="I7" i="68"/>
  <c r="W6" i="68"/>
  <c r="V6" i="68"/>
  <c r="M6" i="68"/>
  <c r="N6" i="68" s="1"/>
  <c r="I6" i="68"/>
  <c r="AE5" i="68"/>
  <c r="W5" i="68"/>
  <c r="V5" i="68"/>
  <c r="M5" i="68"/>
  <c r="N5" i="68" s="1"/>
  <c r="I5" i="68"/>
  <c r="W4" i="68"/>
  <c r="V4" i="68"/>
  <c r="M4" i="68"/>
  <c r="N4" i="68" s="1"/>
  <c r="I4" i="68"/>
  <c r="F11" i="68" l="1"/>
  <c r="F15" i="68"/>
  <c r="F19" i="68"/>
  <c r="F23" i="68"/>
  <c r="F18" i="68"/>
  <c r="F12" i="68"/>
  <c r="F16" i="68"/>
  <c r="F20" i="68"/>
  <c r="F24" i="68"/>
  <c r="F14" i="68"/>
  <c r="F22" i="68"/>
  <c r="F13" i="68"/>
  <c r="F17" i="68"/>
  <c r="F21" i="68"/>
  <c r="F25" i="68"/>
  <c r="U4" i="68"/>
  <c r="X4" i="68" s="1"/>
  <c r="Y4" i="68" s="1"/>
  <c r="Z4" i="68" s="1"/>
  <c r="Q4" i="68" s="1"/>
  <c r="P4" i="68"/>
  <c r="R4" i="68" s="1"/>
  <c r="U5" i="68"/>
  <c r="X5" i="68" s="1"/>
  <c r="Y5" i="68" s="1"/>
  <c r="Z5" i="68" s="1"/>
  <c r="Q5" i="68" s="1"/>
  <c r="P5" i="68"/>
  <c r="R5" i="68" s="1"/>
  <c r="U6" i="68"/>
  <c r="X6" i="68" s="1"/>
  <c r="Y6" i="68" s="1"/>
  <c r="Z6" i="68" s="1"/>
  <c r="Q6" i="68" s="1"/>
  <c r="P6" i="68"/>
  <c r="R6" i="68" s="1"/>
  <c r="U7" i="68"/>
  <c r="X7" i="68" s="1"/>
  <c r="Y7" i="68" s="1"/>
  <c r="Z7" i="68" s="1"/>
  <c r="Q7" i="68" s="1"/>
  <c r="P7" i="68"/>
  <c r="R7" i="68" s="1"/>
  <c r="U8" i="68"/>
  <c r="X8" i="68" s="1"/>
  <c r="Y8" i="68" s="1"/>
  <c r="Z8" i="68" s="1"/>
  <c r="Q8" i="68" s="1"/>
  <c r="P8" i="68"/>
  <c r="R8" i="68" s="1"/>
  <c r="U9" i="68"/>
  <c r="X9" i="68" s="1"/>
  <c r="Y9" i="68" s="1"/>
  <c r="Z9" i="68" s="1"/>
  <c r="Q9" i="68" s="1"/>
  <c r="P9" i="68"/>
  <c r="R9" i="68" s="1"/>
  <c r="U10" i="68"/>
  <c r="X10" i="68" s="1"/>
  <c r="Y10" i="68" s="1"/>
  <c r="Z10" i="68" s="1"/>
  <c r="Q10" i="68" s="1"/>
  <c r="P10" i="68"/>
  <c r="R10" i="68" s="1"/>
  <c r="U11" i="68"/>
  <c r="X11" i="68" s="1"/>
  <c r="Y11" i="68" s="1"/>
  <c r="Z11" i="68" s="1"/>
  <c r="Q11" i="68" s="1"/>
  <c r="P11" i="68"/>
  <c r="R11" i="68" s="1"/>
  <c r="U12" i="68"/>
  <c r="X12" i="68" s="1"/>
  <c r="Y12" i="68" s="1"/>
  <c r="Z12" i="68" s="1"/>
  <c r="Q12" i="68" s="1"/>
  <c r="P12" i="68"/>
  <c r="R12" i="68" s="1"/>
  <c r="G12" i="68"/>
  <c r="G13" i="68" s="1"/>
  <c r="G14" i="68" s="1"/>
  <c r="G15" i="68" s="1"/>
  <c r="G16" i="68" s="1"/>
  <c r="G17" i="68" s="1"/>
  <c r="G18" i="68" s="1"/>
  <c r="G19" i="68" s="1"/>
  <c r="G20" i="68" s="1"/>
  <c r="G21" i="68" s="1"/>
  <c r="G22" i="68" s="1"/>
  <c r="G23" i="68" s="1"/>
  <c r="G24" i="68" s="1"/>
  <c r="F26" i="68" l="1"/>
  <c r="G25" i="68"/>
  <c r="S12" i="68"/>
  <c r="S11" i="68"/>
  <c r="S10" i="68"/>
  <c r="S9" i="68"/>
  <c r="S8" i="68"/>
  <c r="S7" i="68"/>
  <c r="S6" i="68"/>
  <c r="S5" i="68"/>
  <c r="S4" i="68"/>
  <c r="F31" i="68"/>
  <c r="F36" i="67" l="1"/>
  <c r="G33" i="67"/>
  <c r="C27" i="67"/>
  <c r="E26" i="67"/>
  <c r="E27" i="67" s="1"/>
  <c r="F27" i="67" s="1"/>
  <c r="F22" i="67"/>
  <c r="F18" i="67"/>
  <c r="F14" i="67"/>
  <c r="W12" i="67"/>
  <c r="V12" i="67"/>
  <c r="M12" i="67"/>
  <c r="N12" i="67" s="1"/>
  <c r="I12" i="67"/>
  <c r="W11" i="67"/>
  <c r="V11" i="67"/>
  <c r="M11" i="67"/>
  <c r="N11" i="67" s="1"/>
  <c r="I11" i="67"/>
  <c r="W10" i="67"/>
  <c r="V10" i="67"/>
  <c r="M10" i="67"/>
  <c r="N10" i="67" s="1"/>
  <c r="I10" i="67"/>
  <c r="W9" i="67"/>
  <c r="V9" i="67"/>
  <c r="M9" i="67"/>
  <c r="N9" i="67" s="1"/>
  <c r="I9" i="67"/>
  <c r="W8" i="67"/>
  <c r="V8" i="67"/>
  <c r="M8" i="67"/>
  <c r="N8" i="67" s="1"/>
  <c r="I8" i="67"/>
  <c r="W7" i="67"/>
  <c r="V7" i="67"/>
  <c r="M7" i="67"/>
  <c r="N7" i="67" s="1"/>
  <c r="I7" i="67"/>
  <c r="W6" i="67"/>
  <c r="V6" i="67"/>
  <c r="M6" i="67"/>
  <c r="N6" i="67" s="1"/>
  <c r="I6" i="67"/>
  <c r="AE5" i="67"/>
  <c r="W5" i="67"/>
  <c r="V5" i="67"/>
  <c r="M5" i="67"/>
  <c r="N5" i="67" s="1"/>
  <c r="I5" i="67"/>
  <c r="W4" i="67"/>
  <c r="V4" i="67"/>
  <c r="M4" i="67"/>
  <c r="N4" i="67" s="1"/>
  <c r="I4" i="67"/>
  <c r="F11" i="67" l="1"/>
  <c r="F15" i="67"/>
  <c r="F19" i="67"/>
  <c r="F23" i="67"/>
  <c r="F12" i="67"/>
  <c r="F16" i="67"/>
  <c r="F20" i="67"/>
  <c r="F24" i="67"/>
  <c r="F13" i="67"/>
  <c r="F17" i="67"/>
  <c r="F21" i="67"/>
  <c r="F25" i="67"/>
  <c r="U4" i="67"/>
  <c r="X4" i="67" s="1"/>
  <c r="Y4" i="67" s="1"/>
  <c r="Z4" i="67" s="1"/>
  <c r="Q4" i="67" s="1"/>
  <c r="P4" i="67"/>
  <c r="R4" i="67" s="1"/>
  <c r="U5" i="67"/>
  <c r="X5" i="67" s="1"/>
  <c r="Y5" i="67" s="1"/>
  <c r="Z5" i="67" s="1"/>
  <c r="Q5" i="67" s="1"/>
  <c r="P5" i="67"/>
  <c r="R5" i="67" s="1"/>
  <c r="U6" i="67"/>
  <c r="X6" i="67" s="1"/>
  <c r="Y6" i="67" s="1"/>
  <c r="Z6" i="67" s="1"/>
  <c r="Q6" i="67" s="1"/>
  <c r="P6" i="67"/>
  <c r="R6" i="67" s="1"/>
  <c r="U7" i="67"/>
  <c r="X7" i="67" s="1"/>
  <c r="Y7" i="67" s="1"/>
  <c r="Z7" i="67" s="1"/>
  <c r="Q7" i="67" s="1"/>
  <c r="P7" i="67"/>
  <c r="R7" i="67" s="1"/>
  <c r="U8" i="67"/>
  <c r="X8" i="67" s="1"/>
  <c r="Y8" i="67" s="1"/>
  <c r="Z8" i="67" s="1"/>
  <c r="Q8" i="67" s="1"/>
  <c r="P8" i="67"/>
  <c r="R8" i="67" s="1"/>
  <c r="U9" i="67"/>
  <c r="X9" i="67" s="1"/>
  <c r="Y9" i="67" s="1"/>
  <c r="Z9" i="67" s="1"/>
  <c r="Q9" i="67" s="1"/>
  <c r="P9" i="67"/>
  <c r="R9" i="67" s="1"/>
  <c r="U10" i="67"/>
  <c r="X10" i="67" s="1"/>
  <c r="Y10" i="67" s="1"/>
  <c r="Z10" i="67" s="1"/>
  <c r="Q10" i="67" s="1"/>
  <c r="P10" i="67"/>
  <c r="R10" i="67" s="1"/>
  <c r="U11" i="67"/>
  <c r="X11" i="67" s="1"/>
  <c r="Y11" i="67" s="1"/>
  <c r="Z11" i="67" s="1"/>
  <c r="Q11" i="67" s="1"/>
  <c r="P11" i="67"/>
  <c r="R11" i="67" s="1"/>
  <c r="U12" i="67"/>
  <c r="X12" i="67" s="1"/>
  <c r="Y12" i="67" s="1"/>
  <c r="Z12" i="67" s="1"/>
  <c r="Q12" i="67" s="1"/>
  <c r="P12" i="67"/>
  <c r="R12" i="67" s="1"/>
  <c r="G12" i="67"/>
  <c r="G13" i="67" s="1"/>
  <c r="G14" i="67" s="1"/>
  <c r="G15" i="67" s="1"/>
  <c r="G16" i="67" s="1"/>
  <c r="G17" i="67" s="1"/>
  <c r="G18" i="67" s="1"/>
  <c r="G19" i="67" s="1"/>
  <c r="G20" i="67" s="1"/>
  <c r="G21" i="67" s="1"/>
  <c r="G22" i="67" s="1"/>
  <c r="G23" i="67" s="1"/>
  <c r="G24" i="67" s="1"/>
  <c r="F26" i="67" l="1"/>
  <c r="G25" i="67"/>
  <c r="S12" i="67"/>
  <c r="S11" i="67"/>
  <c r="S10" i="67"/>
  <c r="S9" i="67"/>
  <c r="S8" i="67"/>
  <c r="S7" i="67"/>
  <c r="S6" i="67"/>
  <c r="S5" i="67"/>
  <c r="S4" i="67"/>
  <c r="F31" i="67"/>
  <c r="F36" i="66" l="1"/>
  <c r="G33" i="66"/>
  <c r="C27" i="66"/>
  <c r="E26" i="66"/>
  <c r="E27" i="66" s="1"/>
  <c r="F27" i="66" s="1"/>
  <c r="F18" i="66"/>
  <c r="F14" i="66"/>
  <c r="W12" i="66"/>
  <c r="V12" i="66"/>
  <c r="M12" i="66"/>
  <c r="N12" i="66" s="1"/>
  <c r="I12" i="66"/>
  <c r="W11" i="66"/>
  <c r="V11" i="66"/>
  <c r="M11" i="66"/>
  <c r="N11" i="66" s="1"/>
  <c r="I11" i="66"/>
  <c r="W10" i="66"/>
  <c r="V10" i="66"/>
  <c r="M10" i="66"/>
  <c r="N10" i="66" s="1"/>
  <c r="I10" i="66"/>
  <c r="W9" i="66"/>
  <c r="V9" i="66"/>
  <c r="M9" i="66"/>
  <c r="N9" i="66" s="1"/>
  <c r="I9" i="66"/>
  <c r="W8" i="66"/>
  <c r="V8" i="66"/>
  <c r="M8" i="66"/>
  <c r="N8" i="66" s="1"/>
  <c r="I8" i="66"/>
  <c r="W7" i="66"/>
  <c r="V7" i="66"/>
  <c r="M7" i="66"/>
  <c r="N7" i="66" s="1"/>
  <c r="I7" i="66"/>
  <c r="W6" i="66"/>
  <c r="V6" i="66"/>
  <c r="M6" i="66"/>
  <c r="N6" i="66" s="1"/>
  <c r="I6" i="66"/>
  <c r="AE5" i="66"/>
  <c r="W5" i="66"/>
  <c r="V5" i="66"/>
  <c r="M5" i="66"/>
  <c r="N5" i="66" s="1"/>
  <c r="I5" i="66"/>
  <c r="W4" i="66"/>
  <c r="V4" i="66"/>
  <c r="M4" i="66"/>
  <c r="N4" i="66" s="1"/>
  <c r="I4" i="66"/>
  <c r="F11" i="66" l="1"/>
  <c r="F15" i="66"/>
  <c r="F19" i="66"/>
  <c r="F23" i="66"/>
  <c r="F12" i="66"/>
  <c r="F16" i="66"/>
  <c r="F20" i="66"/>
  <c r="F24" i="66"/>
  <c r="F22" i="66"/>
  <c r="F13" i="66"/>
  <c r="F17" i="66"/>
  <c r="F21" i="66"/>
  <c r="F25" i="66"/>
  <c r="U4" i="66"/>
  <c r="X4" i="66" s="1"/>
  <c r="Y4" i="66" s="1"/>
  <c r="Z4" i="66" s="1"/>
  <c r="Q4" i="66" s="1"/>
  <c r="P4" i="66"/>
  <c r="R4" i="66" s="1"/>
  <c r="U5" i="66"/>
  <c r="X5" i="66" s="1"/>
  <c r="Y5" i="66" s="1"/>
  <c r="Z5" i="66" s="1"/>
  <c r="Q5" i="66" s="1"/>
  <c r="P5" i="66"/>
  <c r="R5" i="66" s="1"/>
  <c r="U6" i="66"/>
  <c r="X6" i="66" s="1"/>
  <c r="Y6" i="66" s="1"/>
  <c r="Z6" i="66" s="1"/>
  <c r="Q6" i="66" s="1"/>
  <c r="P6" i="66"/>
  <c r="R6" i="66" s="1"/>
  <c r="U7" i="66"/>
  <c r="X7" i="66" s="1"/>
  <c r="Y7" i="66" s="1"/>
  <c r="Z7" i="66" s="1"/>
  <c r="Q7" i="66" s="1"/>
  <c r="P7" i="66"/>
  <c r="R7" i="66" s="1"/>
  <c r="U8" i="66"/>
  <c r="X8" i="66" s="1"/>
  <c r="Y8" i="66" s="1"/>
  <c r="Z8" i="66" s="1"/>
  <c r="Q8" i="66" s="1"/>
  <c r="P8" i="66"/>
  <c r="R8" i="66" s="1"/>
  <c r="U9" i="66"/>
  <c r="X9" i="66" s="1"/>
  <c r="Y9" i="66" s="1"/>
  <c r="Z9" i="66" s="1"/>
  <c r="Q9" i="66" s="1"/>
  <c r="P9" i="66"/>
  <c r="R9" i="66" s="1"/>
  <c r="U10" i="66"/>
  <c r="X10" i="66" s="1"/>
  <c r="Y10" i="66" s="1"/>
  <c r="Z10" i="66" s="1"/>
  <c r="Q10" i="66" s="1"/>
  <c r="P10" i="66"/>
  <c r="R10" i="66" s="1"/>
  <c r="U11" i="66"/>
  <c r="X11" i="66" s="1"/>
  <c r="Y11" i="66" s="1"/>
  <c r="Z11" i="66" s="1"/>
  <c r="Q11" i="66" s="1"/>
  <c r="P11" i="66"/>
  <c r="R11" i="66" s="1"/>
  <c r="U12" i="66"/>
  <c r="X12" i="66" s="1"/>
  <c r="Y12" i="66" s="1"/>
  <c r="Z12" i="66" s="1"/>
  <c r="Q12" i="66" s="1"/>
  <c r="P12" i="66"/>
  <c r="R12" i="66" s="1"/>
  <c r="G12" i="66"/>
  <c r="G13" i="66" s="1"/>
  <c r="G14" i="66" s="1"/>
  <c r="G15" i="66" s="1"/>
  <c r="G16" i="66" s="1"/>
  <c r="G17" i="66" s="1"/>
  <c r="G18" i="66" s="1"/>
  <c r="G19" i="66" s="1"/>
  <c r="G20" i="66" s="1"/>
  <c r="G21" i="66" s="1"/>
  <c r="G22" i="66" s="1"/>
  <c r="G23" i="66" s="1"/>
  <c r="G24" i="66" s="1"/>
  <c r="F26" i="66" l="1"/>
  <c r="G25" i="66"/>
  <c r="S12" i="66"/>
  <c r="S11" i="66"/>
  <c r="S10" i="66"/>
  <c r="S9" i="66"/>
  <c r="S8" i="66"/>
  <c r="S7" i="66"/>
  <c r="S6" i="66"/>
  <c r="S5" i="66"/>
  <c r="S4" i="66"/>
  <c r="F31" i="66"/>
  <c r="W31" i="62" l="1"/>
  <c r="W30" i="62"/>
  <c r="W27" i="62"/>
  <c r="W24" i="62"/>
  <c r="W22" i="62"/>
  <c r="W33" i="62" s="1"/>
  <c r="F36" i="62"/>
  <c r="G33" i="62"/>
  <c r="C27" i="62"/>
  <c r="E25" i="62"/>
  <c r="E24" i="62"/>
  <c r="E23" i="62"/>
  <c r="E22" i="62"/>
  <c r="E21" i="62"/>
  <c r="E20" i="62"/>
  <c r="E19" i="62"/>
  <c r="E18" i="62"/>
  <c r="E17" i="62"/>
  <c r="E16" i="62"/>
  <c r="E15" i="62"/>
  <c r="E14" i="62"/>
  <c r="E13" i="62"/>
  <c r="W12" i="62"/>
  <c r="V12" i="62"/>
  <c r="M12" i="62"/>
  <c r="N12" i="62" s="1"/>
  <c r="I12" i="62"/>
  <c r="E12" i="62"/>
  <c r="E26" i="62" s="1"/>
  <c r="E27" i="62" s="1"/>
  <c r="F27" i="62" s="1"/>
  <c r="W11" i="62"/>
  <c r="V11" i="62"/>
  <c r="M11" i="62"/>
  <c r="N11" i="62" s="1"/>
  <c r="I11" i="62"/>
  <c r="E11" i="62"/>
  <c r="W10" i="62"/>
  <c r="V10" i="62"/>
  <c r="M10" i="62"/>
  <c r="N10" i="62" s="1"/>
  <c r="I10" i="62"/>
  <c r="W9" i="62"/>
  <c r="V9" i="62"/>
  <c r="M9" i="62"/>
  <c r="N9" i="62" s="1"/>
  <c r="I9" i="62"/>
  <c r="W8" i="62"/>
  <c r="V8" i="62"/>
  <c r="M8" i="62"/>
  <c r="N8" i="62" s="1"/>
  <c r="I8" i="62"/>
  <c r="W7" i="62"/>
  <c r="V7" i="62"/>
  <c r="M7" i="62"/>
  <c r="N7" i="62" s="1"/>
  <c r="I7" i="62"/>
  <c r="W6" i="62"/>
  <c r="V6" i="62"/>
  <c r="M6" i="62"/>
  <c r="N6" i="62" s="1"/>
  <c r="I6" i="62"/>
  <c r="AE5" i="62"/>
  <c r="W5" i="62"/>
  <c r="V5" i="62"/>
  <c r="M5" i="62"/>
  <c r="N5" i="62" s="1"/>
  <c r="I5" i="62"/>
  <c r="W4" i="62"/>
  <c r="V4" i="62"/>
  <c r="M4" i="62"/>
  <c r="N4" i="62" s="1"/>
  <c r="I4" i="62"/>
  <c r="V36" i="62" l="1"/>
  <c r="F91" i="156"/>
  <c r="J91" i="156" s="1"/>
  <c r="F11" i="62"/>
  <c r="X27" i="62"/>
  <c r="W32" i="62"/>
  <c r="U4" i="62"/>
  <c r="X4" i="62" s="1"/>
  <c r="Y4" i="62" s="1"/>
  <c r="Z4" i="62" s="1"/>
  <c r="Q4" i="62" s="1"/>
  <c r="P4" i="62"/>
  <c r="R4" i="62" s="1"/>
  <c r="U5" i="62"/>
  <c r="X5" i="62" s="1"/>
  <c r="Y5" i="62" s="1"/>
  <c r="Z5" i="62" s="1"/>
  <c r="Q5" i="62" s="1"/>
  <c r="P5" i="62"/>
  <c r="R5" i="62" s="1"/>
  <c r="U6" i="62"/>
  <c r="X6" i="62" s="1"/>
  <c r="Y6" i="62" s="1"/>
  <c r="Z6" i="62" s="1"/>
  <c r="Q6" i="62" s="1"/>
  <c r="P6" i="62"/>
  <c r="R6" i="62" s="1"/>
  <c r="U7" i="62"/>
  <c r="X7" i="62" s="1"/>
  <c r="Y7" i="62" s="1"/>
  <c r="Z7" i="62" s="1"/>
  <c r="Q7" i="62" s="1"/>
  <c r="P7" i="62"/>
  <c r="R7" i="62" s="1"/>
  <c r="U8" i="62"/>
  <c r="X8" i="62" s="1"/>
  <c r="Y8" i="62" s="1"/>
  <c r="Z8" i="62" s="1"/>
  <c r="Q8" i="62" s="1"/>
  <c r="P8" i="62"/>
  <c r="R8" i="62" s="1"/>
  <c r="U9" i="62"/>
  <c r="X9" i="62" s="1"/>
  <c r="Y9" i="62" s="1"/>
  <c r="Z9" i="62" s="1"/>
  <c r="Q9" i="62" s="1"/>
  <c r="P9" i="62"/>
  <c r="R9" i="62" s="1"/>
  <c r="U10" i="62"/>
  <c r="X10" i="62" s="1"/>
  <c r="Y10" i="62" s="1"/>
  <c r="Z10" i="62" s="1"/>
  <c r="Q10" i="62" s="1"/>
  <c r="P10" i="62"/>
  <c r="R10" i="62" s="1"/>
  <c r="U11" i="62"/>
  <c r="X11" i="62" s="1"/>
  <c r="Y11" i="62" s="1"/>
  <c r="Z11" i="62" s="1"/>
  <c r="Q11" i="62" s="1"/>
  <c r="P11" i="62"/>
  <c r="R11" i="62" s="1"/>
  <c r="U12" i="62"/>
  <c r="X12" i="62" s="1"/>
  <c r="Y12" i="62" s="1"/>
  <c r="Z12" i="62" s="1"/>
  <c r="Q12" i="62" s="1"/>
  <c r="P12" i="62"/>
  <c r="R12" i="62" s="1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12" i="62"/>
  <c r="F26" i="62" l="1"/>
  <c r="G12" i="62"/>
  <c r="G13" i="62" s="1"/>
  <c r="G14" i="62" s="1"/>
  <c r="G15" i="62" s="1"/>
  <c r="G16" i="62" s="1"/>
  <c r="G17" i="62" s="1"/>
  <c r="G18" i="62" s="1"/>
  <c r="G19" i="62" s="1"/>
  <c r="G20" i="62" s="1"/>
  <c r="G21" i="62" s="1"/>
  <c r="G22" i="62" s="1"/>
  <c r="G23" i="62" s="1"/>
  <c r="G24" i="62" s="1"/>
  <c r="G25" i="62" l="1"/>
  <c r="S12" i="62"/>
  <c r="S11" i="62"/>
  <c r="S10" i="62"/>
  <c r="S9" i="62"/>
  <c r="S8" i="62"/>
  <c r="S7" i="62"/>
  <c r="S6" i="62"/>
  <c r="S5" i="62"/>
  <c r="S4" i="62"/>
  <c r="F31" i="62"/>
  <c r="T10" i="62" l="1"/>
  <c r="S13" i="62"/>
  <c r="T6" i="62" s="1"/>
  <c r="T8" i="62"/>
  <c r="T9" i="62"/>
  <c r="W24" i="61"/>
  <c r="W31" i="61"/>
  <c r="W30" i="61"/>
  <c r="W27" i="61"/>
  <c r="V36" i="61"/>
  <c r="W22" i="61"/>
  <c r="W33" i="61" s="1"/>
  <c r="F36" i="61"/>
  <c r="G33" i="61"/>
  <c r="C27" i="61"/>
  <c r="E25" i="61"/>
  <c r="E24" i="61"/>
  <c r="E23" i="61"/>
  <c r="E22" i="61"/>
  <c r="E21" i="61"/>
  <c r="E20" i="61"/>
  <c r="E19" i="61"/>
  <c r="E18" i="61"/>
  <c r="E17" i="61"/>
  <c r="E16" i="61"/>
  <c r="E15" i="61"/>
  <c r="E14" i="61"/>
  <c r="E13" i="61"/>
  <c r="W12" i="61"/>
  <c r="V12" i="61"/>
  <c r="M12" i="61"/>
  <c r="N12" i="61" s="1"/>
  <c r="I12" i="61"/>
  <c r="E12" i="61"/>
  <c r="W11" i="61"/>
  <c r="V11" i="61"/>
  <c r="M11" i="61"/>
  <c r="N11" i="61" s="1"/>
  <c r="I11" i="61"/>
  <c r="E11" i="61"/>
  <c r="W10" i="61"/>
  <c r="V10" i="61"/>
  <c r="M10" i="61"/>
  <c r="N10" i="61" s="1"/>
  <c r="I10" i="61"/>
  <c r="W9" i="61"/>
  <c r="V9" i="61"/>
  <c r="M9" i="61"/>
  <c r="N9" i="61" s="1"/>
  <c r="I9" i="61"/>
  <c r="W8" i="61"/>
  <c r="V8" i="61"/>
  <c r="M8" i="61"/>
  <c r="N8" i="61" s="1"/>
  <c r="I8" i="61"/>
  <c r="W7" i="61"/>
  <c r="V7" i="61"/>
  <c r="M7" i="61"/>
  <c r="N7" i="61" s="1"/>
  <c r="I7" i="61"/>
  <c r="W6" i="61"/>
  <c r="V6" i="61"/>
  <c r="M6" i="61"/>
  <c r="N6" i="61" s="1"/>
  <c r="I6" i="61"/>
  <c r="AE5" i="61"/>
  <c r="W5" i="61"/>
  <c r="V5" i="61"/>
  <c r="M5" i="61"/>
  <c r="N5" i="61" s="1"/>
  <c r="I5" i="61"/>
  <c r="W4" i="61"/>
  <c r="V4" i="61"/>
  <c r="M4" i="61"/>
  <c r="N4" i="61" s="1"/>
  <c r="I4" i="61"/>
  <c r="F89" i="156" l="1"/>
  <c r="J89" i="156" s="1"/>
  <c r="F11" i="61"/>
  <c r="T4" i="62"/>
  <c r="T11" i="62"/>
  <c r="E26" i="61"/>
  <c r="E27" i="61" s="1"/>
  <c r="F27" i="61" s="1"/>
  <c r="T7" i="62"/>
  <c r="T5" i="62"/>
  <c r="T12" i="62"/>
  <c r="X27" i="61"/>
  <c r="W32" i="61"/>
  <c r="U4" i="61"/>
  <c r="X4" i="61" s="1"/>
  <c r="Y4" i="61" s="1"/>
  <c r="Z4" i="61" s="1"/>
  <c r="Q4" i="61" s="1"/>
  <c r="P4" i="61"/>
  <c r="R4" i="61" s="1"/>
  <c r="U5" i="61"/>
  <c r="X5" i="61" s="1"/>
  <c r="Y5" i="61" s="1"/>
  <c r="Z5" i="61" s="1"/>
  <c r="Q5" i="61" s="1"/>
  <c r="P5" i="61"/>
  <c r="R5" i="61" s="1"/>
  <c r="U6" i="61"/>
  <c r="X6" i="61" s="1"/>
  <c r="Y6" i="61" s="1"/>
  <c r="Z6" i="61" s="1"/>
  <c r="Q6" i="61" s="1"/>
  <c r="P6" i="61"/>
  <c r="R6" i="61" s="1"/>
  <c r="U7" i="61"/>
  <c r="X7" i="61" s="1"/>
  <c r="Y7" i="61" s="1"/>
  <c r="Z7" i="61" s="1"/>
  <c r="Q7" i="61" s="1"/>
  <c r="P7" i="61"/>
  <c r="R7" i="61" s="1"/>
  <c r="U8" i="61"/>
  <c r="X8" i="61" s="1"/>
  <c r="Y8" i="61" s="1"/>
  <c r="Z8" i="61" s="1"/>
  <c r="Q8" i="61" s="1"/>
  <c r="P8" i="61"/>
  <c r="R8" i="61" s="1"/>
  <c r="U9" i="61"/>
  <c r="X9" i="61" s="1"/>
  <c r="Y9" i="61" s="1"/>
  <c r="Z9" i="61" s="1"/>
  <c r="Q9" i="61" s="1"/>
  <c r="P9" i="61"/>
  <c r="R9" i="61" s="1"/>
  <c r="U10" i="61"/>
  <c r="X10" i="61" s="1"/>
  <c r="Y10" i="61" s="1"/>
  <c r="Z10" i="61" s="1"/>
  <c r="Q10" i="61" s="1"/>
  <c r="P10" i="61"/>
  <c r="R10" i="61" s="1"/>
  <c r="U11" i="61"/>
  <c r="X11" i="61" s="1"/>
  <c r="Y11" i="61" s="1"/>
  <c r="Z11" i="61" s="1"/>
  <c r="Q11" i="61" s="1"/>
  <c r="P11" i="61"/>
  <c r="R11" i="61" s="1"/>
  <c r="U12" i="61"/>
  <c r="X12" i="61" s="1"/>
  <c r="Y12" i="61" s="1"/>
  <c r="Z12" i="61" s="1"/>
  <c r="Q12" i="61" s="1"/>
  <c r="P12" i="61"/>
  <c r="R12" i="61" s="1"/>
  <c r="F13" i="61"/>
  <c r="F14" i="61"/>
  <c r="F15" i="61"/>
  <c r="I39" i="61" s="1"/>
  <c r="F16" i="61"/>
  <c r="I40" i="61" s="1"/>
  <c r="F17" i="61"/>
  <c r="I41" i="61" s="1"/>
  <c r="F18" i="61"/>
  <c r="I42" i="61" s="1"/>
  <c r="F19" i="61"/>
  <c r="I43" i="61" s="1"/>
  <c r="F20" i="61"/>
  <c r="I44" i="61" s="1"/>
  <c r="F21" i="61"/>
  <c r="I45" i="61" s="1"/>
  <c r="F22" i="61"/>
  <c r="I46" i="61" s="1"/>
  <c r="F23" i="61"/>
  <c r="I47" i="61" s="1"/>
  <c r="F24" i="61"/>
  <c r="I48" i="61" s="1"/>
  <c r="F25" i="61"/>
  <c r="I49" i="61" s="1"/>
  <c r="F12" i="61"/>
  <c r="I38" i="61" s="1"/>
  <c r="I50" i="61" s="1"/>
  <c r="I51" i="61" s="1"/>
  <c r="F26" i="61" l="1"/>
  <c r="G12" i="61"/>
  <c r="G13" i="61" s="1"/>
  <c r="G14" i="61" s="1"/>
  <c r="G15" i="61" s="1"/>
  <c r="G16" i="61" s="1"/>
  <c r="G17" i="61" s="1"/>
  <c r="G18" i="61" s="1"/>
  <c r="G19" i="61" s="1"/>
  <c r="G20" i="61" s="1"/>
  <c r="G21" i="61" s="1"/>
  <c r="G22" i="61" s="1"/>
  <c r="G23" i="61" s="1"/>
  <c r="G24" i="61" s="1"/>
  <c r="G25" i="61" l="1"/>
  <c r="S12" i="61"/>
  <c r="S11" i="61"/>
  <c r="S10" i="61"/>
  <c r="S9" i="61"/>
  <c r="S8" i="61"/>
  <c r="S7" i="61"/>
  <c r="S6" i="61"/>
  <c r="S5" i="61"/>
  <c r="S4" i="61"/>
  <c r="F31" i="61"/>
  <c r="T6" i="61" l="1"/>
  <c r="T16" i="61" s="1"/>
  <c r="S13" i="61"/>
  <c r="T11" i="61" s="1"/>
  <c r="T21" i="61" s="1"/>
  <c r="T8" i="61"/>
  <c r="T18" i="61" s="1"/>
  <c r="T9" i="61"/>
  <c r="T19" i="61" s="1"/>
  <c r="W31" i="59"/>
  <c r="W30" i="59"/>
  <c r="W27" i="59"/>
  <c r="W24" i="59"/>
  <c r="F67" i="156" s="1"/>
  <c r="J67" i="156" s="1"/>
  <c r="W22" i="59"/>
  <c r="W33" i="59" s="1"/>
  <c r="F36" i="59"/>
  <c r="G33" i="59"/>
  <c r="C27" i="59"/>
  <c r="E25" i="59"/>
  <c r="E24" i="59"/>
  <c r="E23" i="59"/>
  <c r="E22" i="59"/>
  <c r="E21" i="59"/>
  <c r="E20" i="59"/>
  <c r="E19" i="59"/>
  <c r="E18" i="59"/>
  <c r="E17" i="59"/>
  <c r="E16" i="59"/>
  <c r="E15" i="59"/>
  <c r="E14" i="59"/>
  <c r="E13" i="59"/>
  <c r="W12" i="59"/>
  <c r="V12" i="59"/>
  <c r="M12" i="59"/>
  <c r="N12" i="59" s="1"/>
  <c r="I12" i="59"/>
  <c r="E12" i="59"/>
  <c r="E26" i="59" s="1"/>
  <c r="E27" i="59" s="1"/>
  <c r="F27" i="59" s="1"/>
  <c r="W11" i="59"/>
  <c r="V11" i="59"/>
  <c r="M11" i="59"/>
  <c r="N11" i="59" s="1"/>
  <c r="I11" i="59"/>
  <c r="E11" i="59"/>
  <c r="W10" i="59"/>
  <c r="V10" i="59"/>
  <c r="M10" i="59"/>
  <c r="N10" i="59" s="1"/>
  <c r="I10" i="59"/>
  <c r="W9" i="59"/>
  <c r="V9" i="59"/>
  <c r="M9" i="59"/>
  <c r="N9" i="59" s="1"/>
  <c r="I9" i="59"/>
  <c r="W8" i="59"/>
  <c r="V8" i="59"/>
  <c r="M8" i="59"/>
  <c r="N8" i="59" s="1"/>
  <c r="I8" i="59"/>
  <c r="W7" i="59"/>
  <c r="V7" i="59"/>
  <c r="M7" i="59"/>
  <c r="N7" i="59" s="1"/>
  <c r="I7" i="59"/>
  <c r="W6" i="59"/>
  <c r="V6" i="59"/>
  <c r="M6" i="59"/>
  <c r="N6" i="59" s="1"/>
  <c r="I6" i="59"/>
  <c r="AE5" i="59"/>
  <c r="W5" i="59"/>
  <c r="V5" i="59"/>
  <c r="M5" i="59"/>
  <c r="N5" i="59" s="1"/>
  <c r="I5" i="59"/>
  <c r="W4" i="59"/>
  <c r="V4" i="59"/>
  <c r="M4" i="59"/>
  <c r="N4" i="59" s="1"/>
  <c r="I4" i="59"/>
  <c r="T4" i="61" l="1"/>
  <c r="T14" i="61" s="1"/>
  <c r="T12" i="61"/>
  <c r="T22" i="61" s="1"/>
  <c r="T10" i="61"/>
  <c r="T20" i="61" s="1"/>
  <c r="F11" i="59"/>
  <c r="T5" i="61"/>
  <c r="T15" i="61" s="1"/>
  <c r="T7" i="61"/>
  <c r="T17" i="61" s="1"/>
  <c r="V36" i="59"/>
  <c r="X27" i="59"/>
  <c r="W32" i="59"/>
  <c r="U4" i="59"/>
  <c r="X4" i="59" s="1"/>
  <c r="Y4" i="59" s="1"/>
  <c r="Z4" i="59" s="1"/>
  <c r="Q4" i="59" s="1"/>
  <c r="P4" i="59"/>
  <c r="R4" i="59" s="1"/>
  <c r="U5" i="59"/>
  <c r="X5" i="59" s="1"/>
  <c r="Y5" i="59" s="1"/>
  <c r="Z5" i="59" s="1"/>
  <c r="Q5" i="59" s="1"/>
  <c r="P5" i="59"/>
  <c r="R5" i="59" s="1"/>
  <c r="U6" i="59"/>
  <c r="X6" i="59" s="1"/>
  <c r="Y6" i="59" s="1"/>
  <c r="Z6" i="59" s="1"/>
  <c r="Q6" i="59" s="1"/>
  <c r="P6" i="59"/>
  <c r="R6" i="59" s="1"/>
  <c r="U7" i="59"/>
  <c r="X7" i="59" s="1"/>
  <c r="Y7" i="59" s="1"/>
  <c r="Z7" i="59" s="1"/>
  <c r="Q7" i="59" s="1"/>
  <c r="P7" i="59"/>
  <c r="R7" i="59" s="1"/>
  <c r="U8" i="59"/>
  <c r="X8" i="59" s="1"/>
  <c r="Y8" i="59" s="1"/>
  <c r="Z8" i="59" s="1"/>
  <c r="Q8" i="59" s="1"/>
  <c r="P8" i="59"/>
  <c r="R8" i="59" s="1"/>
  <c r="U9" i="59"/>
  <c r="X9" i="59" s="1"/>
  <c r="Y9" i="59" s="1"/>
  <c r="Z9" i="59" s="1"/>
  <c r="Q9" i="59" s="1"/>
  <c r="P9" i="59"/>
  <c r="R9" i="59" s="1"/>
  <c r="U10" i="59"/>
  <c r="X10" i="59" s="1"/>
  <c r="Y10" i="59" s="1"/>
  <c r="Z10" i="59" s="1"/>
  <c r="Q10" i="59" s="1"/>
  <c r="P10" i="59"/>
  <c r="R10" i="59" s="1"/>
  <c r="U11" i="59"/>
  <c r="X11" i="59" s="1"/>
  <c r="Y11" i="59" s="1"/>
  <c r="Z11" i="59" s="1"/>
  <c r="Q11" i="59" s="1"/>
  <c r="P11" i="59"/>
  <c r="R11" i="59" s="1"/>
  <c r="U12" i="59"/>
  <c r="X12" i="59" s="1"/>
  <c r="Y12" i="59" s="1"/>
  <c r="Z12" i="59" s="1"/>
  <c r="Q12" i="59" s="1"/>
  <c r="P12" i="59"/>
  <c r="R12" i="59" s="1"/>
  <c r="F13" i="59"/>
  <c r="F14" i="59"/>
  <c r="F15" i="59"/>
  <c r="F16" i="59"/>
  <c r="F17" i="59"/>
  <c r="F18" i="59"/>
  <c r="F19" i="59"/>
  <c r="F20" i="59"/>
  <c r="F21" i="59"/>
  <c r="F22" i="59"/>
  <c r="F23" i="59"/>
  <c r="F24" i="59"/>
  <c r="F25" i="59"/>
  <c r="F12" i="59"/>
  <c r="F26" i="59" l="1"/>
  <c r="G12" i="59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l="1"/>
  <c r="S12" i="59"/>
  <c r="S11" i="59"/>
  <c r="S10" i="59"/>
  <c r="S9" i="59"/>
  <c r="S8" i="59"/>
  <c r="S7" i="59"/>
  <c r="S6" i="59"/>
  <c r="S5" i="59"/>
  <c r="S4" i="59"/>
  <c r="F31" i="59"/>
  <c r="W31" i="58" l="1"/>
  <c r="W30" i="58"/>
  <c r="W27" i="58"/>
  <c r="W24" i="58"/>
  <c r="W22" i="58"/>
  <c r="W33" i="58" s="1"/>
  <c r="F36" i="58"/>
  <c r="G33" i="58"/>
  <c r="C27" i="58"/>
  <c r="E25" i="58"/>
  <c r="E24" i="58"/>
  <c r="E23" i="58"/>
  <c r="E22" i="58"/>
  <c r="E21" i="58"/>
  <c r="E20" i="58"/>
  <c r="E19" i="58"/>
  <c r="E18" i="58"/>
  <c r="E17" i="58"/>
  <c r="E16" i="58"/>
  <c r="E15" i="58"/>
  <c r="E14" i="58"/>
  <c r="E13" i="58"/>
  <c r="W12" i="58"/>
  <c r="V12" i="58"/>
  <c r="M12" i="58"/>
  <c r="N12" i="58" s="1"/>
  <c r="I12" i="58"/>
  <c r="E12" i="58"/>
  <c r="W11" i="58"/>
  <c r="V11" i="58"/>
  <c r="M11" i="58"/>
  <c r="N11" i="58" s="1"/>
  <c r="I11" i="58"/>
  <c r="E11" i="58"/>
  <c r="W10" i="58"/>
  <c r="V10" i="58"/>
  <c r="M10" i="58"/>
  <c r="N10" i="58" s="1"/>
  <c r="I10" i="58"/>
  <c r="W9" i="58"/>
  <c r="V9" i="58"/>
  <c r="M9" i="58"/>
  <c r="N9" i="58" s="1"/>
  <c r="I9" i="58"/>
  <c r="W8" i="58"/>
  <c r="V8" i="58"/>
  <c r="M8" i="58"/>
  <c r="N8" i="58" s="1"/>
  <c r="I8" i="58"/>
  <c r="W7" i="58"/>
  <c r="V7" i="58"/>
  <c r="M7" i="58"/>
  <c r="N7" i="58" s="1"/>
  <c r="I7" i="58"/>
  <c r="W6" i="58"/>
  <c r="V6" i="58"/>
  <c r="M6" i="58"/>
  <c r="N6" i="58" s="1"/>
  <c r="I6" i="58"/>
  <c r="AE5" i="58"/>
  <c r="W5" i="58"/>
  <c r="V5" i="58"/>
  <c r="M5" i="58"/>
  <c r="N5" i="58" s="1"/>
  <c r="I5" i="58"/>
  <c r="W4" i="58"/>
  <c r="V4" i="58"/>
  <c r="M4" i="58"/>
  <c r="N4" i="58" s="1"/>
  <c r="I4" i="58"/>
  <c r="V36" i="58" l="1"/>
  <c r="F76" i="156"/>
  <c r="J76" i="156" s="1"/>
  <c r="E26" i="58"/>
  <c r="F11" i="58" s="1"/>
  <c r="X27" i="58"/>
  <c r="W32" i="58"/>
  <c r="U4" i="58"/>
  <c r="X4" i="58" s="1"/>
  <c r="Y4" i="58" s="1"/>
  <c r="Z4" i="58" s="1"/>
  <c r="Q4" i="58" s="1"/>
  <c r="P4" i="58"/>
  <c r="R4" i="58" s="1"/>
  <c r="U5" i="58"/>
  <c r="X5" i="58" s="1"/>
  <c r="Y5" i="58" s="1"/>
  <c r="Z5" i="58" s="1"/>
  <c r="Q5" i="58" s="1"/>
  <c r="P5" i="58"/>
  <c r="R5" i="58" s="1"/>
  <c r="U6" i="58"/>
  <c r="X6" i="58" s="1"/>
  <c r="Y6" i="58" s="1"/>
  <c r="Z6" i="58" s="1"/>
  <c r="Q6" i="58" s="1"/>
  <c r="P6" i="58"/>
  <c r="R6" i="58" s="1"/>
  <c r="U7" i="58"/>
  <c r="X7" i="58" s="1"/>
  <c r="Y7" i="58" s="1"/>
  <c r="Z7" i="58" s="1"/>
  <c r="Q7" i="58" s="1"/>
  <c r="P7" i="58"/>
  <c r="R7" i="58" s="1"/>
  <c r="U8" i="58"/>
  <c r="X8" i="58" s="1"/>
  <c r="Y8" i="58" s="1"/>
  <c r="Z8" i="58" s="1"/>
  <c r="Q8" i="58" s="1"/>
  <c r="P8" i="58"/>
  <c r="R8" i="58" s="1"/>
  <c r="U9" i="58"/>
  <c r="X9" i="58" s="1"/>
  <c r="Y9" i="58" s="1"/>
  <c r="Z9" i="58" s="1"/>
  <c r="Q9" i="58" s="1"/>
  <c r="P9" i="58"/>
  <c r="R9" i="58" s="1"/>
  <c r="U10" i="58"/>
  <c r="X10" i="58" s="1"/>
  <c r="Y10" i="58" s="1"/>
  <c r="Z10" i="58" s="1"/>
  <c r="Q10" i="58" s="1"/>
  <c r="P10" i="58"/>
  <c r="R10" i="58" s="1"/>
  <c r="U11" i="58"/>
  <c r="X11" i="58" s="1"/>
  <c r="Y11" i="58" s="1"/>
  <c r="Z11" i="58" s="1"/>
  <c r="Q11" i="58" s="1"/>
  <c r="P11" i="58"/>
  <c r="R11" i="58" s="1"/>
  <c r="U12" i="58"/>
  <c r="X12" i="58" s="1"/>
  <c r="Y12" i="58" s="1"/>
  <c r="Z12" i="58" s="1"/>
  <c r="Q12" i="58" s="1"/>
  <c r="P12" i="58"/>
  <c r="R12" i="58" s="1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12" i="58"/>
  <c r="E27" i="58" l="1"/>
  <c r="F27" i="58" s="1"/>
  <c r="F26" i="58"/>
  <c r="G12" i="58"/>
  <c r="G13" i="58" s="1"/>
  <c r="G14" i="58" s="1"/>
  <c r="G15" i="58" s="1"/>
  <c r="G16" i="58" s="1"/>
  <c r="G17" i="58" s="1"/>
  <c r="G18" i="58" s="1"/>
  <c r="G19" i="58" s="1"/>
  <c r="G20" i="58" s="1"/>
  <c r="G21" i="58" s="1"/>
  <c r="G22" i="58" s="1"/>
  <c r="G23" i="58" s="1"/>
  <c r="G24" i="58" s="1"/>
  <c r="G25" i="58" l="1"/>
  <c r="S12" i="58"/>
  <c r="S11" i="58"/>
  <c r="S10" i="58"/>
  <c r="S9" i="58"/>
  <c r="S8" i="58"/>
  <c r="S7" i="58"/>
  <c r="S6" i="58"/>
  <c r="S5" i="58"/>
  <c r="S4" i="58"/>
  <c r="F31" i="58"/>
  <c r="W31" i="57" l="1"/>
  <c r="W30" i="57"/>
  <c r="W27" i="57"/>
  <c r="W24" i="57"/>
  <c r="F99" i="156" s="1"/>
  <c r="J99" i="156" s="1"/>
  <c r="W22" i="57"/>
  <c r="W33" i="57" s="1"/>
  <c r="F36" i="57"/>
  <c r="G33" i="57"/>
  <c r="C27" i="57"/>
  <c r="E25" i="57"/>
  <c r="E24" i="57"/>
  <c r="E23" i="57"/>
  <c r="E22" i="57"/>
  <c r="E21" i="57"/>
  <c r="E20" i="57"/>
  <c r="E19" i="57"/>
  <c r="E18" i="57"/>
  <c r="E17" i="57"/>
  <c r="E16" i="57"/>
  <c r="E15" i="57"/>
  <c r="E14" i="57"/>
  <c r="E13" i="57"/>
  <c r="W12" i="57"/>
  <c r="V12" i="57"/>
  <c r="M12" i="57"/>
  <c r="N12" i="57" s="1"/>
  <c r="I12" i="57"/>
  <c r="E12" i="57"/>
  <c r="W11" i="57"/>
  <c r="V11" i="57"/>
  <c r="M11" i="57"/>
  <c r="N11" i="57" s="1"/>
  <c r="I11" i="57"/>
  <c r="E11" i="57"/>
  <c r="W10" i="57"/>
  <c r="V10" i="57"/>
  <c r="M10" i="57"/>
  <c r="N10" i="57" s="1"/>
  <c r="I10" i="57"/>
  <c r="W9" i="57"/>
  <c r="V9" i="57"/>
  <c r="M9" i="57"/>
  <c r="N9" i="57" s="1"/>
  <c r="I9" i="57"/>
  <c r="W8" i="57"/>
  <c r="V8" i="57"/>
  <c r="M8" i="57"/>
  <c r="N8" i="57" s="1"/>
  <c r="I8" i="57"/>
  <c r="W7" i="57"/>
  <c r="V7" i="57"/>
  <c r="M7" i="57"/>
  <c r="N7" i="57" s="1"/>
  <c r="I7" i="57"/>
  <c r="W6" i="57"/>
  <c r="V6" i="57"/>
  <c r="M6" i="57"/>
  <c r="N6" i="57" s="1"/>
  <c r="I6" i="57"/>
  <c r="AE5" i="57"/>
  <c r="W5" i="57"/>
  <c r="V5" i="57"/>
  <c r="M5" i="57"/>
  <c r="N5" i="57" s="1"/>
  <c r="I5" i="57"/>
  <c r="W4" i="57"/>
  <c r="V4" i="57"/>
  <c r="M4" i="57"/>
  <c r="N4" i="57" s="1"/>
  <c r="I4" i="57"/>
  <c r="E26" i="57" l="1"/>
  <c r="E27" i="57" s="1"/>
  <c r="F27" i="57" s="1"/>
  <c r="V36" i="57"/>
  <c r="X27" i="57"/>
  <c r="W32" i="57"/>
  <c r="U4" i="57"/>
  <c r="X4" i="57" s="1"/>
  <c r="Y4" i="57" s="1"/>
  <c r="Z4" i="57" s="1"/>
  <c r="Q4" i="57" s="1"/>
  <c r="P4" i="57"/>
  <c r="R4" i="57" s="1"/>
  <c r="U5" i="57"/>
  <c r="X5" i="57" s="1"/>
  <c r="Y5" i="57" s="1"/>
  <c r="Z5" i="57" s="1"/>
  <c r="Q5" i="57" s="1"/>
  <c r="P5" i="57"/>
  <c r="R5" i="57" s="1"/>
  <c r="U6" i="57"/>
  <c r="X6" i="57" s="1"/>
  <c r="Y6" i="57" s="1"/>
  <c r="Z6" i="57" s="1"/>
  <c r="Q6" i="57" s="1"/>
  <c r="P6" i="57"/>
  <c r="R6" i="57" s="1"/>
  <c r="U7" i="57"/>
  <c r="X7" i="57" s="1"/>
  <c r="Y7" i="57" s="1"/>
  <c r="Z7" i="57" s="1"/>
  <c r="Q7" i="57" s="1"/>
  <c r="P7" i="57"/>
  <c r="R7" i="57" s="1"/>
  <c r="U8" i="57"/>
  <c r="X8" i="57" s="1"/>
  <c r="Y8" i="57" s="1"/>
  <c r="Z8" i="57" s="1"/>
  <c r="Q8" i="57" s="1"/>
  <c r="P8" i="57"/>
  <c r="R8" i="57" s="1"/>
  <c r="U9" i="57"/>
  <c r="X9" i="57" s="1"/>
  <c r="Y9" i="57" s="1"/>
  <c r="Z9" i="57" s="1"/>
  <c r="Q9" i="57" s="1"/>
  <c r="P9" i="57"/>
  <c r="R9" i="57" s="1"/>
  <c r="U10" i="57"/>
  <c r="X10" i="57" s="1"/>
  <c r="Y10" i="57" s="1"/>
  <c r="Z10" i="57" s="1"/>
  <c r="Q10" i="57" s="1"/>
  <c r="P10" i="57"/>
  <c r="R10" i="57" s="1"/>
  <c r="U11" i="57"/>
  <c r="X11" i="57" s="1"/>
  <c r="Y11" i="57" s="1"/>
  <c r="Z11" i="57" s="1"/>
  <c r="Q11" i="57" s="1"/>
  <c r="P11" i="57"/>
  <c r="R11" i="57" s="1"/>
  <c r="U12" i="57"/>
  <c r="X12" i="57" s="1"/>
  <c r="Y12" i="57" s="1"/>
  <c r="Z12" i="57" s="1"/>
  <c r="Q12" i="57" s="1"/>
  <c r="P12" i="57"/>
  <c r="R12" i="57" s="1"/>
  <c r="F13" i="57"/>
  <c r="F14" i="57"/>
  <c r="F15" i="57"/>
  <c r="F16" i="57"/>
  <c r="F17" i="57"/>
  <c r="F18" i="57"/>
  <c r="F19" i="57"/>
  <c r="F20" i="57"/>
  <c r="F21" i="57"/>
  <c r="F22" i="57"/>
  <c r="F23" i="57"/>
  <c r="F24" i="57"/>
  <c r="F25" i="57"/>
  <c r="F12" i="57"/>
  <c r="F11" i="57" l="1"/>
  <c r="F26" i="57"/>
  <c r="G12" i="57"/>
  <c r="G13" i="57" s="1"/>
  <c r="G14" i="57" s="1"/>
  <c r="G15" i="57" s="1"/>
  <c r="G16" i="57" s="1"/>
  <c r="G17" i="57" s="1"/>
  <c r="G18" i="57" s="1"/>
  <c r="G19" i="57" s="1"/>
  <c r="G20" i="57" s="1"/>
  <c r="G21" i="57" s="1"/>
  <c r="G22" i="57" s="1"/>
  <c r="G23" i="57" s="1"/>
  <c r="G24" i="57" s="1"/>
  <c r="G25" i="57" l="1"/>
  <c r="S12" i="57"/>
  <c r="S11" i="57"/>
  <c r="S10" i="57"/>
  <c r="S9" i="57"/>
  <c r="S8" i="57"/>
  <c r="S7" i="57"/>
  <c r="S6" i="57"/>
  <c r="S5" i="57"/>
  <c r="S4" i="57"/>
  <c r="F31" i="57"/>
  <c r="F36" i="56" l="1"/>
  <c r="G33" i="56"/>
  <c r="C27" i="56"/>
  <c r="E25" i="56"/>
  <c r="E24" i="56"/>
  <c r="E23" i="56"/>
  <c r="E22" i="56"/>
  <c r="E21" i="56"/>
  <c r="E20" i="56"/>
  <c r="E19" i="56"/>
  <c r="E18" i="56"/>
  <c r="E17" i="56"/>
  <c r="E16" i="56"/>
  <c r="E15" i="56"/>
  <c r="E14" i="56"/>
  <c r="E13" i="56"/>
  <c r="W12" i="56"/>
  <c r="V12" i="56"/>
  <c r="M12" i="56"/>
  <c r="N12" i="56" s="1"/>
  <c r="I12" i="56"/>
  <c r="E12" i="56"/>
  <c r="W11" i="56"/>
  <c r="V11" i="56"/>
  <c r="M11" i="56"/>
  <c r="N11" i="56" s="1"/>
  <c r="I11" i="56"/>
  <c r="E11" i="56"/>
  <c r="W10" i="56"/>
  <c r="V10" i="56"/>
  <c r="M10" i="56"/>
  <c r="N10" i="56" s="1"/>
  <c r="I10" i="56"/>
  <c r="W9" i="56"/>
  <c r="V9" i="56"/>
  <c r="M9" i="56"/>
  <c r="N9" i="56" s="1"/>
  <c r="I9" i="56"/>
  <c r="W8" i="56"/>
  <c r="V8" i="56"/>
  <c r="M8" i="56"/>
  <c r="N8" i="56" s="1"/>
  <c r="I8" i="56"/>
  <c r="W7" i="56"/>
  <c r="V7" i="56"/>
  <c r="M7" i="56"/>
  <c r="N7" i="56" s="1"/>
  <c r="I7" i="56"/>
  <c r="W6" i="56"/>
  <c r="V6" i="56"/>
  <c r="M6" i="56"/>
  <c r="N6" i="56" s="1"/>
  <c r="I6" i="56"/>
  <c r="AE5" i="56"/>
  <c r="W5" i="56"/>
  <c r="V5" i="56"/>
  <c r="M5" i="56"/>
  <c r="N5" i="56" s="1"/>
  <c r="I5" i="56"/>
  <c r="W4" i="56"/>
  <c r="V4" i="56"/>
  <c r="M4" i="56"/>
  <c r="N4" i="56" s="1"/>
  <c r="I4" i="56"/>
  <c r="E26" i="56" l="1"/>
  <c r="E27" i="56" s="1"/>
  <c r="F27" i="56" s="1"/>
  <c r="U4" i="56"/>
  <c r="X4" i="56" s="1"/>
  <c r="Y4" i="56" s="1"/>
  <c r="Z4" i="56" s="1"/>
  <c r="Q4" i="56" s="1"/>
  <c r="P4" i="56"/>
  <c r="R4" i="56" s="1"/>
  <c r="U5" i="56"/>
  <c r="X5" i="56" s="1"/>
  <c r="Y5" i="56" s="1"/>
  <c r="Z5" i="56" s="1"/>
  <c r="Q5" i="56" s="1"/>
  <c r="P5" i="56"/>
  <c r="R5" i="56" s="1"/>
  <c r="U6" i="56"/>
  <c r="X6" i="56" s="1"/>
  <c r="Y6" i="56" s="1"/>
  <c r="Z6" i="56" s="1"/>
  <c r="Q6" i="56" s="1"/>
  <c r="P6" i="56"/>
  <c r="R6" i="56" s="1"/>
  <c r="U7" i="56"/>
  <c r="X7" i="56" s="1"/>
  <c r="Y7" i="56" s="1"/>
  <c r="Z7" i="56" s="1"/>
  <c r="Q7" i="56" s="1"/>
  <c r="P7" i="56"/>
  <c r="R7" i="56" s="1"/>
  <c r="U8" i="56"/>
  <c r="X8" i="56" s="1"/>
  <c r="Y8" i="56" s="1"/>
  <c r="Z8" i="56" s="1"/>
  <c r="Q8" i="56" s="1"/>
  <c r="P8" i="56"/>
  <c r="R8" i="56" s="1"/>
  <c r="U9" i="56"/>
  <c r="X9" i="56" s="1"/>
  <c r="Y9" i="56" s="1"/>
  <c r="Z9" i="56" s="1"/>
  <c r="Q9" i="56" s="1"/>
  <c r="P9" i="56"/>
  <c r="R9" i="56" s="1"/>
  <c r="U10" i="56"/>
  <c r="X10" i="56" s="1"/>
  <c r="Y10" i="56" s="1"/>
  <c r="Z10" i="56" s="1"/>
  <c r="Q10" i="56" s="1"/>
  <c r="P10" i="56"/>
  <c r="R10" i="56" s="1"/>
  <c r="U11" i="56"/>
  <c r="X11" i="56" s="1"/>
  <c r="Y11" i="56" s="1"/>
  <c r="Z11" i="56" s="1"/>
  <c r="Q11" i="56" s="1"/>
  <c r="P11" i="56"/>
  <c r="R11" i="56" s="1"/>
  <c r="U12" i="56"/>
  <c r="X12" i="56" s="1"/>
  <c r="Y12" i="56" s="1"/>
  <c r="Z12" i="56" s="1"/>
  <c r="Q12" i="56" s="1"/>
  <c r="P12" i="56"/>
  <c r="R12" i="56" s="1"/>
  <c r="F13" i="56"/>
  <c r="F14" i="56"/>
  <c r="F15" i="56"/>
  <c r="F16" i="56"/>
  <c r="F17" i="56"/>
  <c r="F18" i="56"/>
  <c r="F19" i="56"/>
  <c r="F20" i="56"/>
  <c r="F21" i="56"/>
  <c r="F22" i="56"/>
  <c r="F23" i="56"/>
  <c r="F24" i="56"/>
  <c r="F25" i="56"/>
  <c r="F12" i="56"/>
  <c r="F11" i="56" l="1"/>
  <c r="F26" i="56"/>
  <c r="G12" i="56"/>
  <c r="G13" i="56" s="1"/>
  <c r="G14" i="56" s="1"/>
  <c r="G15" i="56" s="1"/>
  <c r="G16" i="56" s="1"/>
  <c r="G17" i="56" s="1"/>
  <c r="G18" i="56" s="1"/>
  <c r="G19" i="56" s="1"/>
  <c r="G20" i="56" s="1"/>
  <c r="G21" i="56" s="1"/>
  <c r="G22" i="56" s="1"/>
  <c r="G23" i="56" s="1"/>
  <c r="G24" i="56" s="1"/>
  <c r="G25" i="56" l="1"/>
  <c r="S12" i="56"/>
  <c r="S11" i="56"/>
  <c r="S10" i="56"/>
  <c r="S9" i="56"/>
  <c r="S8" i="56"/>
  <c r="S7" i="56"/>
  <c r="S6" i="56"/>
  <c r="S5" i="56"/>
  <c r="S4" i="56"/>
  <c r="F31" i="56"/>
  <c r="W24" i="55" l="1"/>
  <c r="W31" i="55"/>
  <c r="W30" i="55"/>
  <c r="W27" i="55"/>
  <c r="W22" i="55"/>
  <c r="W33" i="55" s="1"/>
  <c r="F36" i="55"/>
  <c r="G33" i="55"/>
  <c r="C27" i="55"/>
  <c r="E25" i="55"/>
  <c r="E24" i="55"/>
  <c r="E23" i="55"/>
  <c r="E22" i="55"/>
  <c r="E21" i="55"/>
  <c r="E20" i="55"/>
  <c r="E19" i="55"/>
  <c r="E18" i="55"/>
  <c r="E17" i="55"/>
  <c r="E16" i="55"/>
  <c r="E15" i="55"/>
  <c r="E14" i="55"/>
  <c r="E13" i="55"/>
  <c r="W12" i="55"/>
  <c r="V12" i="55"/>
  <c r="M12" i="55"/>
  <c r="N12" i="55" s="1"/>
  <c r="I12" i="55"/>
  <c r="E12" i="55"/>
  <c r="W11" i="55"/>
  <c r="V11" i="55"/>
  <c r="M11" i="55"/>
  <c r="N11" i="55" s="1"/>
  <c r="I11" i="55"/>
  <c r="E11" i="55"/>
  <c r="W10" i="55"/>
  <c r="V10" i="55"/>
  <c r="M10" i="55"/>
  <c r="N10" i="55" s="1"/>
  <c r="I10" i="55"/>
  <c r="W9" i="55"/>
  <c r="V9" i="55"/>
  <c r="M9" i="55"/>
  <c r="N9" i="55" s="1"/>
  <c r="I9" i="55"/>
  <c r="W8" i="55"/>
  <c r="V8" i="55"/>
  <c r="M8" i="55"/>
  <c r="N8" i="55" s="1"/>
  <c r="I8" i="55"/>
  <c r="W7" i="55"/>
  <c r="V7" i="55"/>
  <c r="M7" i="55"/>
  <c r="N7" i="55" s="1"/>
  <c r="I7" i="55"/>
  <c r="W6" i="55"/>
  <c r="V6" i="55"/>
  <c r="M6" i="55"/>
  <c r="N6" i="55" s="1"/>
  <c r="I6" i="55"/>
  <c r="AE5" i="55"/>
  <c r="W5" i="55"/>
  <c r="V5" i="55"/>
  <c r="M5" i="55"/>
  <c r="N5" i="55" s="1"/>
  <c r="I5" i="55"/>
  <c r="W4" i="55"/>
  <c r="V4" i="55"/>
  <c r="M4" i="55"/>
  <c r="N4" i="55" s="1"/>
  <c r="I4" i="55"/>
  <c r="E26" i="55" l="1"/>
  <c r="E27" i="55" s="1"/>
  <c r="F27" i="55" s="1"/>
  <c r="F92" i="156"/>
  <c r="J92" i="156" s="1"/>
  <c r="V36" i="55"/>
  <c r="X27" i="55"/>
  <c r="W32" i="55"/>
  <c r="U4" i="55"/>
  <c r="X4" i="55" s="1"/>
  <c r="Y4" i="55" s="1"/>
  <c r="Z4" i="55" s="1"/>
  <c r="Q4" i="55" s="1"/>
  <c r="P4" i="55"/>
  <c r="R4" i="55" s="1"/>
  <c r="U5" i="55"/>
  <c r="X5" i="55" s="1"/>
  <c r="Y5" i="55" s="1"/>
  <c r="Z5" i="55" s="1"/>
  <c r="Q5" i="55" s="1"/>
  <c r="P5" i="55"/>
  <c r="R5" i="55" s="1"/>
  <c r="U6" i="55"/>
  <c r="X6" i="55" s="1"/>
  <c r="Y6" i="55" s="1"/>
  <c r="Z6" i="55" s="1"/>
  <c r="Q6" i="55" s="1"/>
  <c r="P6" i="55"/>
  <c r="R6" i="55" s="1"/>
  <c r="U7" i="55"/>
  <c r="X7" i="55" s="1"/>
  <c r="Y7" i="55" s="1"/>
  <c r="Z7" i="55" s="1"/>
  <c r="Q7" i="55" s="1"/>
  <c r="P7" i="55"/>
  <c r="R7" i="55" s="1"/>
  <c r="U8" i="55"/>
  <c r="X8" i="55" s="1"/>
  <c r="Y8" i="55" s="1"/>
  <c r="Z8" i="55" s="1"/>
  <c r="Q8" i="55" s="1"/>
  <c r="P8" i="55"/>
  <c r="R8" i="55" s="1"/>
  <c r="U9" i="55"/>
  <c r="X9" i="55" s="1"/>
  <c r="Y9" i="55" s="1"/>
  <c r="Z9" i="55" s="1"/>
  <c r="Q9" i="55" s="1"/>
  <c r="P9" i="55"/>
  <c r="R9" i="55" s="1"/>
  <c r="U10" i="55"/>
  <c r="X10" i="55" s="1"/>
  <c r="Y10" i="55" s="1"/>
  <c r="Z10" i="55" s="1"/>
  <c r="Q10" i="55" s="1"/>
  <c r="P10" i="55"/>
  <c r="R10" i="55" s="1"/>
  <c r="U11" i="55"/>
  <c r="X11" i="55" s="1"/>
  <c r="Y11" i="55" s="1"/>
  <c r="Z11" i="55" s="1"/>
  <c r="Q11" i="55" s="1"/>
  <c r="P11" i="55"/>
  <c r="R11" i="55" s="1"/>
  <c r="U12" i="55"/>
  <c r="X12" i="55" s="1"/>
  <c r="Y12" i="55" s="1"/>
  <c r="Z12" i="55" s="1"/>
  <c r="Q12" i="55" s="1"/>
  <c r="P12" i="55"/>
  <c r="R12" i="55" s="1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12" i="55"/>
  <c r="F11" i="55" l="1"/>
  <c r="F26" i="55"/>
  <c r="G12" i="55"/>
  <c r="G13" i="55" s="1"/>
  <c r="G14" i="55" s="1"/>
  <c r="G15" i="55" s="1"/>
  <c r="G16" i="55" s="1"/>
  <c r="G17" i="55" s="1"/>
  <c r="G18" i="55" s="1"/>
  <c r="G19" i="55" s="1"/>
  <c r="G20" i="55" s="1"/>
  <c r="G21" i="55" s="1"/>
  <c r="G22" i="55" s="1"/>
  <c r="G23" i="55" s="1"/>
  <c r="G24" i="55" s="1"/>
  <c r="G25" i="55" l="1"/>
  <c r="S12" i="55"/>
  <c r="S11" i="55"/>
  <c r="S10" i="55"/>
  <c r="S9" i="55"/>
  <c r="S8" i="55"/>
  <c r="S7" i="55"/>
  <c r="S6" i="55"/>
  <c r="S5" i="55"/>
  <c r="S4" i="55"/>
  <c r="F31" i="55"/>
  <c r="W31" i="54" l="1"/>
  <c r="W30" i="54"/>
  <c r="W27" i="54"/>
  <c r="W24" i="54"/>
  <c r="W22" i="54"/>
  <c r="W33" i="54" s="1"/>
  <c r="F36" i="54"/>
  <c r="G33" i="54"/>
  <c r="C27" i="54"/>
  <c r="E25" i="54"/>
  <c r="E24" i="54"/>
  <c r="E23" i="54"/>
  <c r="E22" i="54"/>
  <c r="E21" i="54"/>
  <c r="E20" i="54"/>
  <c r="E19" i="54"/>
  <c r="E18" i="54"/>
  <c r="E17" i="54"/>
  <c r="E16" i="54"/>
  <c r="E15" i="54"/>
  <c r="E14" i="54"/>
  <c r="E13" i="54"/>
  <c r="W12" i="54"/>
  <c r="V12" i="54"/>
  <c r="M12" i="54"/>
  <c r="N12" i="54" s="1"/>
  <c r="I12" i="54"/>
  <c r="E12" i="54"/>
  <c r="W11" i="54"/>
  <c r="V11" i="54"/>
  <c r="M11" i="54"/>
  <c r="N11" i="54" s="1"/>
  <c r="I11" i="54"/>
  <c r="E11" i="54"/>
  <c r="W10" i="54"/>
  <c r="V10" i="54"/>
  <c r="M10" i="54"/>
  <c r="N10" i="54" s="1"/>
  <c r="I10" i="54"/>
  <c r="W9" i="54"/>
  <c r="V9" i="54"/>
  <c r="M9" i="54"/>
  <c r="N9" i="54" s="1"/>
  <c r="I9" i="54"/>
  <c r="W8" i="54"/>
  <c r="V8" i="54"/>
  <c r="M8" i="54"/>
  <c r="N8" i="54" s="1"/>
  <c r="I8" i="54"/>
  <c r="W7" i="54"/>
  <c r="V7" i="54"/>
  <c r="M7" i="54"/>
  <c r="N7" i="54" s="1"/>
  <c r="I7" i="54"/>
  <c r="W6" i="54"/>
  <c r="V6" i="54"/>
  <c r="M6" i="54"/>
  <c r="N6" i="54" s="1"/>
  <c r="I6" i="54"/>
  <c r="AE5" i="54"/>
  <c r="W5" i="54"/>
  <c r="V5" i="54"/>
  <c r="M5" i="54"/>
  <c r="N5" i="54" s="1"/>
  <c r="I5" i="54"/>
  <c r="W4" i="54"/>
  <c r="V4" i="54"/>
  <c r="M4" i="54"/>
  <c r="N4" i="54" s="1"/>
  <c r="I4" i="54"/>
  <c r="F85" i="156" l="1"/>
  <c r="J85" i="156" s="1"/>
  <c r="V36" i="54"/>
  <c r="E26" i="54"/>
  <c r="E27" i="54" s="1"/>
  <c r="F27" i="54" s="1"/>
  <c r="X27" i="54"/>
  <c r="W32" i="54"/>
  <c r="U4" i="54"/>
  <c r="X4" i="54" s="1"/>
  <c r="Y4" i="54" s="1"/>
  <c r="Z4" i="54" s="1"/>
  <c r="Q4" i="54" s="1"/>
  <c r="P4" i="54"/>
  <c r="R4" i="54" s="1"/>
  <c r="U5" i="54"/>
  <c r="X5" i="54" s="1"/>
  <c r="Y5" i="54" s="1"/>
  <c r="Z5" i="54" s="1"/>
  <c r="Q5" i="54" s="1"/>
  <c r="P5" i="54"/>
  <c r="R5" i="54" s="1"/>
  <c r="U6" i="54"/>
  <c r="X6" i="54" s="1"/>
  <c r="Y6" i="54" s="1"/>
  <c r="Z6" i="54" s="1"/>
  <c r="Q6" i="54" s="1"/>
  <c r="P6" i="54"/>
  <c r="R6" i="54" s="1"/>
  <c r="U7" i="54"/>
  <c r="X7" i="54" s="1"/>
  <c r="Y7" i="54" s="1"/>
  <c r="Z7" i="54" s="1"/>
  <c r="Q7" i="54" s="1"/>
  <c r="P7" i="54"/>
  <c r="R7" i="54" s="1"/>
  <c r="U8" i="54"/>
  <c r="X8" i="54" s="1"/>
  <c r="Y8" i="54" s="1"/>
  <c r="Z8" i="54" s="1"/>
  <c r="Q8" i="54" s="1"/>
  <c r="P8" i="54"/>
  <c r="R8" i="54" s="1"/>
  <c r="U9" i="54"/>
  <c r="X9" i="54" s="1"/>
  <c r="Y9" i="54" s="1"/>
  <c r="Z9" i="54" s="1"/>
  <c r="Q9" i="54" s="1"/>
  <c r="P9" i="54"/>
  <c r="R9" i="54" s="1"/>
  <c r="U10" i="54"/>
  <c r="X10" i="54" s="1"/>
  <c r="Y10" i="54" s="1"/>
  <c r="Z10" i="54" s="1"/>
  <c r="Q10" i="54" s="1"/>
  <c r="P10" i="54"/>
  <c r="R10" i="54" s="1"/>
  <c r="U11" i="54"/>
  <c r="X11" i="54" s="1"/>
  <c r="Y11" i="54" s="1"/>
  <c r="Z11" i="54" s="1"/>
  <c r="Q11" i="54" s="1"/>
  <c r="P11" i="54"/>
  <c r="R11" i="54" s="1"/>
  <c r="U12" i="54"/>
  <c r="X12" i="54" s="1"/>
  <c r="Y12" i="54" s="1"/>
  <c r="Z12" i="54" s="1"/>
  <c r="Q12" i="54" s="1"/>
  <c r="P12" i="54"/>
  <c r="R12" i="54" s="1"/>
  <c r="F13" i="54"/>
  <c r="F14" i="54"/>
  <c r="F15" i="54"/>
  <c r="I39" i="54" s="1"/>
  <c r="F16" i="54"/>
  <c r="I40" i="54" s="1"/>
  <c r="F17" i="54"/>
  <c r="I41" i="54" s="1"/>
  <c r="F18" i="54"/>
  <c r="I42" i="54" s="1"/>
  <c r="F19" i="54"/>
  <c r="I43" i="54" s="1"/>
  <c r="F20" i="54"/>
  <c r="I44" i="54" s="1"/>
  <c r="F21" i="54"/>
  <c r="I45" i="54" s="1"/>
  <c r="F22" i="54"/>
  <c r="I46" i="54" s="1"/>
  <c r="F23" i="54"/>
  <c r="I47" i="54" s="1"/>
  <c r="F24" i="54"/>
  <c r="I48" i="54" s="1"/>
  <c r="F25" i="54"/>
  <c r="I49" i="54" s="1"/>
  <c r="F12" i="54"/>
  <c r="I38" i="54" s="1"/>
  <c r="I50" i="54" s="1"/>
  <c r="I51" i="54" s="1"/>
  <c r="F11" i="54" l="1"/>
  <c r="F26" i="54"/>
  <c r="G12" i="54"/>
  <c r="G13" i="54" s="1"/>
  <c r="G14" i="54" s="1"/>
  <c r="G15" i="54" s="1"/>
  <c r="G16" i="54" s="1"/>
  <c r="G17" i="54" s="1"/>
  <c r="G18" i="54" s="1"/>
  <c r="G19" i="54" s="1"/>
  <c r="G20" i="54" s="1"/>
  <c r="G21" i="54" s="1"/>
  <c r="G22" i="54" s="1"/>
  <c r="G23" i="54" s="1"/>
  <c r="G24" i="54" s="1"/>
  <c r="G25" i="54" l="1"/>
  <c r="S12" i="54"/>
  <c r="S11" i="54"/>
  <c r="S10" i="54"/>
  <c r="S9" i="54"/>
  <c r="S8" i="54"/>
  <c r="S7" i="54"/>
  <c r="S6" i="54"/>
  <c r="S5" i="54"/>
  <c r="S4" i="54"/>
  <c r="F31" i="54"/>
  <c r="W31" i="53" l="1"/>
  <c r="W30" i="53"/>
  <c r="W27" i="53"/>
  <c r="W24" i="53"/>
  <c r="F66" i="156" s="1"/>
  <c r="J66" i="156" s="1"/>
  <c r="W22" i="53"/>
  <c r="W33" i="53" s="1"/>
  <c r="F36" i="53"/>
  <c r="G33" i="53"/>
  <c r="C27" i="53"/>
  <c r="E25" i="53"/>
  <c r="E24" i="53"/>
  <c r="E23" i="53"/>
  <c r="E22" i="53"/>
  <c r="E21" i="53"/>
  <c r="E20" i="53"/>
  <c r="E19" i="53"/>
  <c r="E18" i="53"/>
  <c r="E17" i="53"/>
  <c r="E16" i="53"/>
  <c r="E15" i="53"/>
  <c r="E14" i="53"/>
  <c r="E13" i="53"/>
  <c r="W12" i="53"/>
  <c r="V12" i="53"/>
  <c r="M12" i="53"/>
  <c r="N12" i="53" s="1"/>
  <c r="I12" i="53"/>
  <c r="E12" i="53"/>
  <c r="W11" i="53"/>
  <c r="V11" i="53"/>
  <c r="M11" i="53"/>
  <c r="N11" i="53" s="1"/>
  <c r="I11" i="53"/>
  <c r="E11" i="53"/>
  <c r="W10" i="53"/>
  <c r="V10" i="53"/>
  <c r="M10" i="53"/>
  <c r="N10" i="53" s="1"/>
  <c r="I10" i="53"/>
  <c r="W9" i="53"/>
  <c r="V9" i="53"/>
  <c r="M9" i="53"/>
  <c r="N9" i="53" s="1"/>
  <c r="I9" i="53"/>
  <c r="W8" i="53"/>
  <c r="V8" i="53"/>
  <c r="M8" i="53"/>
  <c r="N8" i="53" s="1"/>
  <c r="I8" i="53"/>
  <c r="W7" i="53"/>
  <c r="V7" i="53"/>
  <c r="M7" i="53"/>
  <c r="N7" i="53" s="1"/>
  <c r="I7" i="53"/>
  <c r="W6" i="53"/>
  <c r="V6" i="53"/>
  <c r="M6" i="53"/>
  <c r="N6" i="53" s="1"/>
  <c r="I6" i="53"/>
  <c r="AE5" i="53"/>
  <c r="W5" i="53"/>
  <c r="V5" i="53"/>
  <c r="M5" i="53"/>
  <c r="N5" i="53" s="1"/>
  <c r="I5" i="53"/>
  <c r="W4" i="53"/>
  <c r="V4" i="53"/>
  <c r="M4" i="53"/>
  <c r="N4" i="53" s="1"/>
  <c r="I4" i="53"/>
  <c r="E26" i="53" l="1"/>
  <c r="E27" i="53" s="1"/>
  <c r="F27" i="53" s="1"/>
  <c r="V36" i="53"/>
  <c r="X27" i="53"/>
  <c r="W32" i="53"/>
  <c r="U4" i="53"/>
  <c r="X4" i="53" s="1"/>
  <c r="Y4" i="53" s="1"/>
  <c r="Z4" i="53" s="1"/>
  <c r="Q4" i="53" s="1"/>
  <c r="P4" i="53"/>
  <c r="R4" i="53" s="1"/>
  <c r="U5" i="53"/>
  <c r="X5" i="53" s="1"/>
  <c r="Y5" i="53" s="1"/>
  <c r="Z5" i="53" s="1"/>
  <c r="Q5" i="53" s="1"/>
  <c r="P5" i="53"/>
  <c r="R5" i="53" s="1"/>
  <c r="U6" i="53"/>
  <c r="X6" i="53" s="1"/>
  <c r="Y6" i="53" s="1"/>
  <c r="Z6" i="53" s="1"/>
  <c r="Q6" i="53" s="1"/>
  <c r="P6" i="53"/>
  <c r="R6" i="53" s="1"/>
  <c r="U7" i="53"/>
  <c r="X7" i="53" s="1"/>
  <c r="Y7" i="53" s="1"/>
  <c r="Z7" i="53" s="1"/>
  <c r="Q7" i="53" s="1"/>
  <c r="P7" i="53"/>
  <c r="R7" i="53" s="1"/>
  <c r="U8" i="53"/>
  <c r="X8" i="53" s="1"/>
  <c r="Y8" i="53" s="1"/>
  <c r="Z8" i="53" s="1"/>
  <c r="Q8" i="53" s="1"/>
  <c r="P8" i="53"/>
  <c r="R8" i="53" s="1"/>
  <c r="U9" i="53"/>
  <c r="X9" i="53" s="1"/>
  <c r="Y9" i="53" s="1"/>
  <c r="Z9" i="53" s="1"/>
  <c r="Q9" i="53" s="1"/>
  <c r="P9" i="53"/>
  <c r="R9" i="53" s="1"/>
  <c r="U10" i="53"/>
  <c r="X10" i="53" s="1"/>
  <c r="Y10" i="53" s="1"/>
  <c r="Z10" i="53" s="1"/>
  <c r="Q10" i="53" s="1"/>
  <c r="P10" i="53"/>
  <c r="R10" i="53" s="1"/>
  <c r="U11" i="53"/>
  <c r="X11" i="53" s="1"/>
  <c r="Y11" i="53" s="1"/>
  <c r="Z11" i="53" s="1"/>
  <c r="Q11" i="53" s="1"/>
  <c r="P11" i="53"/>
  <c r="R11" i="53" s="1"/>
  <c r="U12" i="53"/>
  <c r="X12" i="53" s="1"/>
  <c r="Y12" i="53" s="1"/>
  <c r="Z12" i="53" s="1"/>
  <c r="Q12" i="53" s="1"/>
  <c r="P12" i="53"/>
  <c r="R12" i="53" s="1"/>
  <c r="F13" i="53"/>
  <c r="F14" i="53"/>
  <c r="F15" i="53"/>
  <c r="F16" i="53"/>
  <c r="F17" i="53"/>
  <c r="F18" i="53"/>
  <c r="F19" i="53"/>
  <c r="F20" i="53"/>
  <c r="F21" i="53"/>
  <c r="F22" i="53"/>
  <c r="F23" i="53"/>
  <c r="F24" i="53"/>
  <c r="F25" i="53"/>
  <c r="F12" i="53"/>
  <c r="F11" i="53" l="1"/>
  <c r="F26" i="53"/>
  <c r="G12" i="53"/>
  <c r="G13" i="53" s="1"/>
  <c r="G14" i="53" s="1"/>
  <c r="G15" i="53" s="1"/>
  <c r="G16" i="53" s="1"/>
  <c r="G17" i="53" s="1"/>
  <c r="G18" i="53" s="1"/>
  <c r="G19" i="53" s="1"/>
  <c r="G20" i="53" s="1"/>
  <c r="G21" i="53" s="1"/>
  <c r="G22" i="53" s="1"/>
  <c r="G23" i="53" s="1"/>
  <c r="G24" i="53" s="1"/>
  <c r="G25" i="53" l="1"/>
  <c r="S12" i="53"/>
  <c r="S11" i="53"/>
  <c r="S10" i="53"/>
  <c r="S9" i="53"/>
  <c r="S8" i="53"/>
  <c r="S7" i="53"/>
  <c r="S6" i="53"/>
  <c r="S5" i="53"/>
  <c r="S4" i="53"/>
  <c r="F31" i="53"/>
  <c r="W31" i="52" l="1"/>
  <c r="W30" i="52"/>
  <c r="W27" i="52"/>
  <c r="W24" i="52"/>
  <c r="F73" i="156" s="1"/>
  <c r="J73" i="156" s="1"/>
  <c r="W22" i="52"/>
  <c r="W33" i="52" s="1"/>
  <c r="F36" i="52"/>
  <c r="G33" i="52"/>
  <c r="C27" i="52"/>
  <c r="D25" i="52"/>
  <c r="E25" i="52" s="1"/>
  <c r="D24" i="52"/>
  <c r="E24" i="52" s="1"/>
  <c r="D23" i="52"/>
  <c r="E23" i="52" s="1"/>
  <c r="D22" i="52"/>
  <c r="E22" i="52" s="1"/>
  <c r="E21" i="52"/>
  <c r="E20" i="52"/>
  <c r="E19" i="52"/>
  <c r="E18" i="52"/>
  <c r="E17" i="52"/>
  <c r="E16" i="52"/>
  <c r="E15" i="52"/>
  <c r="E14" i="52"/>
  <c r="E13" i="52"/>
  <c r="W12" i="52"/>
  <c r="V12" i="52"/>
  <c r="M12" i="52"/>
  <c r="N12" i="52" s="1"/>
  <c r="I12" i="52"/>
  <c r="E12" i="52"/>
  <c r="W11" i="52"/>
  <c r="V11" i="52"/>
  <c r="M11" i="52"/>
  <c r="N11" i="52" s="1"/>
  <c r="I11" i="52"/>
  <c r="E11" i="52"/>
  <c r="W10" i="52"/>
  <c r="V10" i="52"/>
  <c r="M10" i="52"/>
  <c r="N10" i="52" s="1"/>
  <c r="I10" i="52"/>
  <c r="W9" i="52"/>
  <c r="V9" i="52"/>
  <c r="M9" i="52"/>
  <c r="N9" i="52" s="1"/>
  <c r="I9" i="52"/>
  <c r="W8" i="52"/>
  <c r="V8" i="52"/>
  <c r="M8" i="52"/>
  <c r="N8" i="52" s="1"/>
  <c r="I8" i="52"/>
  <c r="W7" i="52"/>
  <c r="V7" i="52"/>
  <c r="M7" i="52"/>
  <c r="N7" i="52" s="1"/>
  <c r="I7" i="52"/>
  <c r="W6" i="52"/>
  <c r="V6" i="52"/>
  <c r="M6" i="52"/>
  <c r="N6" i="52" s="1"/>
  <c r="I6" i="52"/>
  <c r="AE5" i="52"/>
  <c r="W5" i="52"/>
  <c r="V5" i="52"/>
  <c r="M5" i="52"/>
  <c r="N5" i="52" s="1"/>
  <c r="I5" i="52"/>
  <c r="W4" i="52"/>
  <c r="V4" i="52"/>
  <c r="M4" i="52"/>
  <c r="N4" i="52" s="1"/>
  <c r="I4" i="52"/>
  <c r="E26" i="52" l="1"/>
  <c r="E27" i="52" s="1"/>
  <c r="F27" i="52" s="1"/>
  <c r="V36" i="52"/>
  <c r="X27" i="52"/>
  <c r="W32" i="52"/>
  <c r="U4" i="52"/>
  <c r="X4" i="52" s="1"/>
  <c r="Y4" i="52" s="1"/>
  <c r="Z4" i="52" s="1"/>
  <c r="Q4" i="52" s="1"/>
  <c r="P4" i="52"/>
  <c r="R4" i="52" s="1"/>
  <c r="U5" i="52"/>
  <c r="X5" i="52" s="1"/>
  <c r="Y5" i="52" s="1"/>
  <c r="Z5" i="52" s="1"/>
  <c r="Q5" i="52" s="1"/>
  <c r="P5" i="52"/>
  <c r="R5" i="52" s="1"/>
  <c r="U6" i="52"/>
  <c r="X6" i="52" s="1"/>
  <c r="Y6" i="52" s="1"/>
  <c r="Z6" i="52" s="1"/>
  <c r="Q6" i="52" s="1"/>
  <c r="P6" i="52"/>
  <c r="R6" i="52" s="1"/>
  <c r="U7" i="52"/>
  <c r="X7" i="52" s="1"/>
  <c r="Y7" i="52" s="1"/>
  <c r="Z7" i="52" s="1"/>
  <c r="Q7" i="52" s="1"/>
  <c r="P7" i="52"/>
  <c r="R7" i="52" s="1"/>
  <c r="U8" i="52"/>
  <c r="X8" i="52" s="1"/>
  <c r="Y8" i="52" s="1"/>
  <c r="Z8" i="52" s="1"/>
  <c r="Q8" i="52" s="1"/>
  <c r="P8" i="52"/>
  <c r="R8" i="52" s="1"/>
  <c r="U9" i="52"/>
  <c r="X9" i="52" s="1"/>
  <c r="Y9" i="52" s="1"/>
  <c r="Z9" i="52" s="1"/>
  <c r="Q9" i="52" s="1"/>
  <c r="P9" i="52"/>
  <c r="R9" i="52" s="1"/>
  <c r="U10" i="52"/>
  <c r="X10" i="52" s="1"/>
  <c r="Y10" i="52" s="1"/>
  <c r="Z10" i="52" s="1"/>
  <c r="Q10" i="52" s="1"/>
  <c r="P10" i="52"/>
  <c r="R10" i="52" s="1"/>
  <c r="U11" i="52"/>
  <c r="X11" i="52" s="1"/>
  <c r="Y11" i="52" s="1"/>
  <c r="Z11" i="52" s="1"/>
  <c r="Q11" i="52" s="1"/>
  <c r="P11" i="52"/>
  <c r="R11" i="52" s="1"/>
  <c r="U12" i="52"/>
  <c r="X12" i="52" s="1"/>
  <c r="Y12" i="52" s="1"/>
  <c r="Z12" i="52" s="1"/>
  <c r="Q12" i="52" s="1"/>
  <c r="P12" i="52"/>
  <c r="R12" i="52" s="1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12" i="52"/>
  <c r="F11" i="52" l="1"/>
  <c r="F26" i="52"/>
  <c r="G12" i="52"/>
  <c r="G13" i="52" s="1"/>
  <c r="G14" i="52" s="1"/>
  <c r="G15" i="52" s="1"/>
  <c r="G16" i="52" s="1"/>
  <c r="G17" i="52" s="1"/>
  <c r="G18" i="52" s="1"/>
  <c r="G19" i="52" s="1"/>
  <c r="G20" i="52" s="1"/>
  <c r="G21" i="52" s="1"/>
  <c r="G22" i="52" s="1"/>
  <c r="G23" i="52" s="1"/>
  <c r="G24" i="52" s="1"/>
  <c r="G25" i="52" l="1"/>
  <c r="S12" i="52"/>
  <c r="S11" i="52"/>
  <c r="S10" i="52"/>
  <c r="S9" i="52"/>
  <c r="S8" i="52"/>
  <c r="S7" i="52"/>
  <c r="S6" i="52"/>
  <c r="S5" i="52"/>
  <c r="S4" i="52"/>
  <c r="F31" i="52"/>
  <c r="W31" i="50" l="1"/>
  <c r="W30" i="50"/>
  <c r="W27" i="50"/>
  <c r="W24" i="50"/>
  <c r="W22" i="50"/>
  <c r="W33" i="50" s="1"/>
  <c r="F36" i="50"/>
  <c r="G33" i="50"/>
  <c r="C27" i="50"/>
  <c r="E25" i="50"/>
  <c r="E24" i="50"/>
  <c r="E23" i="50"/>
  <c r="E22" i="50"/>
  <c r="E21" i="50"/>
  <c r="E20" i="50"/>
  <c r="E19" i="50"/>
  <c r="E18" i="50"/>
  <c r="E17" i="50"/>
  <c r="E16" i="50"/>
  <c r="E15" i="50"/>
  <c r="E14" i="50"/>
  <c r="E13" i="50"/>
  <c r="W12" i="50"/>
  <c r="V12" i="50"/>
  <c r="M12" i="50"/>
  <c r="N12" i="50" s="1"/>
  <c r="I12" i="50"/>
  <c r="E12" i="50"/>
  <c r="W11" i="50"/>
  <c r="V11" i="50"/>
  <c r="M11" i="50"/>
  <c r="N11" i="50" s="1"/>
  <c r="I11" i="50"/>
  <c r="E11" i="50"/>
  <c r="W10" i="50"/>
  <c r="V10" i="50"/>
  <c r="M10" i="50"/>
  <c r="N10" i="50" s="1"/>
  <c r="I10" i="50"/>
  <c r="W9" i="50"/>
  <c r="V9" i="50"/>
  <c r="M9" i="50"/>
  <c r="N9" i="50" s="1"/>
  <c r="I9" i="50"/>
  <c r="W8" i="50"/>
  <c r="V8" i="50"/>
  <c r="M8" i="50"/>
  <c r="N8" i="50" s="1"/>
  <c r="I8" i="50"/>
  <c r="W7" i="50"/>
  <c r="V7" i="50"/>
  <c r="M7" i="50"/>
  <c r="N7" i="50" s="1"/>
  <c r="I7" i="50"/>
  <c r="W6" i="50"/>
  <c r="V6" i="50"/>
  <c r="M6" i="50"/>
  <c r="N6" i="50" s="1"/>
  <c r="I6" i="50"/>
  <c r="AE5" i="50"/>
  <c r="W5" i="50"/>
  <c r="V5" i="50"/>
  <c r="M5" i="50"/>
  <c r="N5" i="50" s="1"/>
  <c r="I5" i="50"/>
  <c r="W4" i="50"/>
  <c r="V4" i="50"/>
  <c r="M4" i="50"/>
  <c r="N4" i="50" s="1"/>
  <c r="I4" i="50"/>
  <c r="F84" i="156" l="1"/>
  <c r="J84" i="156" s="1"/>
  <c r="V36" i="50"/>
  <c r="F11" i="50"/>
  <c r="E26" i="50"/>
  <c r="E27" i="50" s="1"/>
  <c r="F27" i="50" s="1"/>
  <c r="X27" i="50"/>
  <c r="W32" i="50"/>
  <c r="U4" i="50"/>
  <c r="X4" i="50" s="1"/>
  <c r="Y4" i="50" s="1"/>
  <c r="Z4" i="50" s="1"/>
  <c r="Q4" i="50" s="1"/>
  <c r="P4" i="50"/>
  <c r="R4" i="50" s="1"/>
  <c r="U5" i="50"/>
  <c r="X5" i="50" s="1"/>
  <c r="Y5" i="50" s="1"/>
  <c r="Z5" i="50" s="1"/>
  <c r="Q5" i="50" s="1"/>
  <c r="P5" i="50"/>
  <c r="R5" i="50" s="1"/>
  <c r="U6" i="50"/>
  <c r="X6" i="50" s="1"/>
  <c r="Y6" i="50" s="1"/>
  <c r="Z6" i="50" s="1"/>
  <c r="Q6" i="50" s="1"/>
  <c r="P6" i="50"/>
  <c r="R6" i="50" s="1"/>
  <c r="U7" i="50"/>
  <c r="X7" i="50" s="1"/>
  <c r="Y7" i="50" s="1"/>
  <c r="Z7" i="50" s="1"/>
  <c r="Q7" i="50" s="1"/>
  <c r="P7" i="50"/>
  <c r="R7" i="50" s="1"/>
  <c r="U8" i="50"/>
  <c r="X8" i="50" s="1"/>
  <c r="Y8" i="50" s="1"/>
  <c r="Z8" i="50" s="1"/>
  <c r="Q8" i="50" s="1"/>
  <c r="P8" i="50"/>
  <c r="R8" i="50" s="1"/>
  <c r="U9" i="50"/>
  <c r="X9" i="50" s="1"/>
  <c r="Y9" i="50" s="1"/>
  <c r="Z9" i="50" s="1"/>
  <c r="Q9" i="50" s="1"/>
  <c r="P9" i="50"/>
  <c r="R9" i="50" s="1"/>
  <c r="U10" i="50"/>
  <c r="X10" i="50" s="1"/>
  <c r="Y10" i="50" s="1"/>
  <c r="Z10" i="50" s="1"/>
  <c r="Q10" i="50" s="1"/>
  <c r="P10" i="50"/>
  <c r="R10" i="50" s="1"/>
  <c r="U11" i="50"/>
  <c r="X11" i="50" s="1"/>
  <c r="Y11" i="50" s="1"/>
  <c r="Z11" i="50" s="1"/>
  <c r="Q11" i="50" s="1"/>
  <c r="P11" i="50"/>
  <c r="R11" i="50" s="1"/>
  <c r="U12" i="50"/>
  <c r="X12" i="50" s="1"/>
  <c r="Y12" i="50" s="1"/>
  <c r="Z12" i="50" s="1"/>
  <c r="Q12" i="50" s="1"/>
  <c r="P12" i="50"/>
  <c r="R12" i="50" s="1"/>
  <c r="F13" i="50"/>
  <c r="F14" i="50"/>
  <c r="F15" i="50"/>
  <c r="I39" i="50" s="1"/>
  <c r="F16" i="50"/>
  <c r="I40" i="50" s="1"/>
  <c r="F17" i="50"/>
  <c r="I41" i="50" s="1"/>
  <c r="F18" i="50"/>
  <c r="I42" i="50" s="1"/>
  <c r="F19" i="50"/>
  <c r="I43" i="50" s="1"/>
  <c r="F20" i="50"/>
  <c r="I44" i="50" s="1"/>
  <c r="F21" i="50"/>
  <c r="I45" i="50" s="1"/>
  <c r="F22" i="50"/>
  <c r="I46" i="50" s="1"/>
  <c r="F23" i="50"/>
  <c r="I47" i="50" s="1"/>
  <c r="F24" i="50"/>
  <c r="I48" i="50" s="1"/>
  <c r="F25" i="50"/>
  <c r="I49" i="50" s="1"/>
  <c r="F12" i="50"/>
  <c r="I38" i="50" l="1"/>
  <c r="I50" i="50" s="1"/>
  <c r="I51" i="50" s="1"/>
  <c r="K51" i="50" s="1"/>
  <c r="F26" i="50"/>
  <c r="G12" i="50"/>
  <c r="G13" i="50" s="1"/>
  <c r="G14" i="50" s="1"/>
  <c r="G15" i="50" s="1"/>
  <c r="G16" i="50" s="1"/>
  <c r="G17" i="50" s="1"/>
  <c r="G18" i="50" s="1"/>
  <c r="G19" i="50" s="1"/>
  <c r="G20" i="50" s="1"/>
  <c r="G21" i="50" s="1"/>
  <c r="G22" i="50" s="1"/>
  <c r="G23" i="50" s="1"/>
  <c r="G24" i="50" s="1"/>
  <c r="G25" i="50" l="1"/>
  <c r="S12" i="50"/>
  <c r="S11" i="50"/>
  <c r="S10" i="50"/>
  <c r="S9" i="50"/>
  <c r="S8" i="50"/>
  <c r="S7" i="50"/>
  <c r="S6" i="50"/>
  <c r="S5" i="50"/>
  <c r="S4" i="50"/>
  <c r="F31" i="50"/>
  <c r="W31" i="49" l="1"/>
  <c r="W30" i="49"/>
  <c r="W27" i="49"/>
  <c r="W24" i="49"/>
  <c r="W22" i="49"/>
  <c r="W33" i="49" s="1"/>
  <c r="F36" i="49"/>
  <c r="G33" i="49"/>
  <c r="C27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W12" i="49"/>
  <c r="V12" i="49"/>
  <c r="M12" i="49"/>
  <c r="N12" i="49" s="1"/>
  <c r="I12" i="49"/>
  <c r="E12" i="49"/>
  <c r="W11" i="49"/>
  <c r="V11" i="49"/>
  <c r="M11" i="49"/>
  <c r="N11" i="49" s="1"/>
  <c r="I11" i="49"/>
  <c r="E11" i="49"/>
  <c r="W10" i="49"/>
  <c r="V10" i="49"/>
  <c r="M10" i="49"/>
  <c r="N10" i="49" s="1"/>
  <c r="I10" i="49"/>
  <c r="W9" i="49"/>
  <c r="V9" i="49"/>
  <c r="M9" i="49"/>
  <c r="N9" i="49" s="1"/>
  <c r="I9" i="49"/>
  <c r="W8" i="49"/>
  <c r="V8" i="49"/>
  <c r="M8" i="49"/>
  <c r="N8" i="49" s="1"/>
  <c r="I8" i="49"/>
  <c r="W7" i="49"/>
  <c r="V7" i="49"/>
  <c r="M7" i="49"/>
  <c r="N7" i="49" s="1"/>
  <c r="I7" i="49"/>
  <c r="W6" i="49"/>
  <c r="V6" i="49"/>
  <c r="M6" i="49"/>
  <c r="N6" i="49" s="1"/>
  <c r="I6" i="49"/>
  <c r="AE5" i="49"/>
  <c r="W5" i="49"/>
  <c r="V5" i="49"/>
  <c r="M5" i="49"/>
  <c r="N5" i="49" s="1"/>
  <c r="I5" i="49"/>
  <c r="W4" i="49"/>
  <c r="V4" i="49"/>
  <c r="M4" i="49"/>
  <c r="N4" i="49" s="1"/>
  <c r="I4" i="49"/>
  <c r="V36" i="49" l="1"/>
  <c r="F77" i="156"/>
  <c r="J77" i="156" s="1"/>
  <c r="E26" i="49"/>
  <c r="E27" i="49" s="1"/>
  <c r="F27" i="49" s="1"/>
  <c r="X27" i="49"/>
  <c r="W32" i="49"/>
  <c r="U4" i="49"/>
  <c r="X4" i="49" s="1"/>
  <c r="Y4" i="49" s="1"/>
  <c r="Z4" i="49" s="1"/>
  <c r="Q4" i="49" s="1"/>
  <c r="P4" i="49"/>
  <c r="R4" i="49" s="1"/>
  <c r="U5" i="49"/>
  <c r="X5" i="49" s="1"/>
  <c r="Y5" i="49" s="1"/>
  <c r="Z5" i="49" s="1"/>
  <c r="Q5" i="49" s="1"/>
  <c r="P5" i="49"/>
  <c r="R5" i="49" s="1"/>
  <c r="U6" i="49"/>
  <c r="X6" i="49" s="1"/>
  <c r="Y6" i="49" s="1"/>
  <c r="Z6" i="49" s="1"/>
  <c r="Q6" i="49" s="1"/>
  <c r="P6" i="49"/>
  <c r="R6" i="49" s="1"/>
  <c r="U7" i="49"/>
  <c r="X7" i="49" s="1"/>
  <c r="Y7" i="49" s="1"/>
  <c r="Z7" i="49" s="1"/>
  <c r="Q7" i="49" s="1"/>
  <c r="P7" i="49"/>
  <c r="R7" i="49" s="1"/>
  <c r="U8" i="49"/>
  <c r="X8" i="49" s="1"/>
  <c r="Y8" i="49" s="1"/>
  <c r="Z8" i="49" s="1"/>
  <c r="Q8" i="49" s="1"/>
  <c r="P8" i="49"/>
  <c r="R8" i="49" s="1"/>
  <c r="U9" i="49"/>
  <c r="X9" i="49" s="1"/>
  <c r="Y9" i="49" s="1"/>
  <c r="Z9" i="49" s="1"/>
  <c r="Q9" i="49" s="1"/>
  <c r="P9" i="49"/>
  <c r="R9" i="49" s="1"/>
  <c r="U10" i="49"/>
  <c r="X10" i="49" s="1"/>
  <c r="Y10" i="49" s="1"/>
  <c r="Z10" i="49" s="1"/>
  <c r="Q10" i="49" s="1"/>
  <c r="P10" i="49"/>
  <c r="R10" i="49" s="1"/>
  <c r="U11" i="49"/>
  <c r="X11" i="49" s="1"/>
  <c r="Y11" i="49" s="1"/>
  <c r="Z11" i="49" s="1"/>
  <c r="Q11" i="49" s="1"/>
  <c r="P11" i="49"/>
  <c r="R11" i="49" s="1"/>
  <c r="U12" i="49"/>
  <c r="X12" i="49" s="1"/>
  <c r="Y12" i="49" s="1"/>
  <c r="Z12" i="49" s="1"/>
  <c r="Q12" i="49" s="1"/>
  <c r="P12" i="49"/>
  <c r="R12" i="49" s="1"/>
  <c r="F13" i="49"/>
  <c r="F14" i="49"/>
  <c r="F15" i="49"/>
  <c r="F16" i="49"/>
  <c r="F17" i="49"/>
  <c r="F18" i="49"/>
  <c r="F19" i="49"/>
  <c r="F20" i="49"/>
  <c r="F21" i="49"/>
  <c r="F22" i="49"/>
  <c r="F23" i="49"/>
  <c r="F24" i="49"/>
  <c r="F25" i="49"/>
  <c r="F12" i="49"/>
  <c r="F11" i="49" l="1"/>
  <c r="F26" i="49"/>
  <c r="G12" i="49"/>
  <c r="G13" i="49" s="1"/>
  <c r="G14" i="49" s="1"/>
  <c r="G15" i="49" s="1"/>
  <c r="G16" i="49" s="1"/>
  <c r="G17" i="49" s="1"/>
  <c r="G18" i="49" s="1"/>
  <c r="G19" i="49" s="1"/>
  <c r="G20" i="49" s="1"/>
  <c r="G21" i="49" s="1"/>
  <c r="G22" i="49" s="1"/>
  <c r="G23" i="49" s="1"/>
  <c r="G24" i="49" s="1"/>
  <c r="G25" i="49" l="1"/>
  <c r="S12" i="49"/>
  <c r="S11" i="49"/>
  <c r="S10" i="49"/>
  <c r="S9" i="49"/>
  <c r="S8" i="49"/>
  <c r="S7" i="49"/>
  <c r="S6" i="49"/>
  <c r="S5" i="49"/>
  <c r="S4" i="49"/>
  <c r="F31" i="49"/>
  <c r="E25" i="48" l="1"/>
  <c r="W31" i="48"/>
  <c r="W30" i="48"/>
  <c r="W27" i="48"/>
  <c r="W24" i="48"/>
  <c r="W22" i="48"/>
  <c r="W33" i="48" s="1"/>
  <c r="F36" i="48"/>
  <c r="G33" i="48"/>
  <c r="C27" i="48"/>
  <c r="E24" i="48"/>
  <c r="E23" i="48"/>
  <c r="E22" i="48"/>
  <c r="E21" i="48"/>
  <c r="E20" i="48"/>
  <c r="E19" i="48"/>
  <c r="E18" i="48"/>
  <c r="E17" i="48"/>
  <c r="E16" i="48"/>
  <c r="E15" i="48"/>
  <c r="E14" i="48"/>
  <c r="E13" i="48"/>
  <c r="W12" i="48"/>
  <c r="V12" i="48"/>
  <c r="M12" i="48"/>
  <c r="N12" i="48" s="1"/>
  <c r="I12" i="48"/>
  <c r="E12" i="48"/>
  <c r="W11" i="48"/>
  <c r="V11" i="48"/>
  <c r="M11" i="48"/>
  <c r="I11" i="48"/>
  <c r="E11" i="48"/>
  <c r="W10" i="48"/>
  <c r="V10" i="48"/>
  <c r="M10" i="48"/>
  <c r="I10" i="48"/>
  <c r="W9" i="48"/>
  <c r="V9" i="48"/>
  <c r="M9" i="48"/>
  <c r="I9" i="48"/>
  <c r="W8" i="48"/>
  <c r="V8" i="48"/>
  <c r="M8" i="48"/>
  <c r="I8" i="48"/>
  <c r="W7" i="48"/>
  <c r="V7" i="48"/>
  <c r="M7" i="48"/>
  <c r="I7" i="48"/>
  <c r="W6" i="48"/>
  <c r="V6" i="48"/>
  <c r="M6" i="48"/>
  <c r="I6" i="48"/>
  <c r="AE5" i="48"/>
  <c r="W5" i="48"/>
  <c r="V5" i="48"/>
  <c r="M5" i="48"/>
  <c r="I5" i="48"/>
  <c r="W4" i="48"/>
  <c r="V4" i="48"/>
  <c r="M4" i="48"/>
  <c r="I4" i="48"/>
  <c r="N4" i="48" l="1"/>
  <c r="N5" i="48"/>
  <c r="N7" i="48"/>
  <c r="P7" i="48" s="1"/>
  <c r="R7" i="48" s="1"/>
  <c r="N9" i="48"/>
  <c r="N10" i="48"/>
  <c r="E26" i="48"/>
  <c r="E27" i="48" s="1"/>
  <c r="F27" i="48" s="1"/>
  <c r="N6" i="48"/>
  <c r="U6" i="48" s="1"/>
  <c r="X6" i="48" s="1"/>
  <c r="Y6" i="48" s="1"/>
  <c r="Z6" i="48" s="1"/>
  <c r="Q6" i="48" s="1"/>
  <c r="N8" i="48"/>
  <c r="N11" i="48"/>
  <c r="F72" i="156"/>
  <c r="J72" i="156" s="1"/>
  <c r="V36" i="48"/>
  <c r="X27" i="48"/>
  <c r="W32" i="48"/>
  <c r="U4" i="48"/>
  <c r="X4" i="48" s="1"/>
  <c r="Y4" i="48" s="1"/>
  <c r="Z4" i="48" s="1"/>
  <c r="Q4" i="48" s="1"/>
  <c r="P4" i="48"/>
  <c r="R4" i="48" s="1"/>
  <c r="U5" i="48"/>
  <c r="X5" i="48" s="1"/>
  <c r="Y5" i="48" s="1"/>
  <c r="Z5" i="48" s="1"/>
  <c r="Q5" i="48" s="1"/>
  <c r="P5" i="48"/>
  <c r="R5" i="48" s="1"/>
  <c r="U7" i="48"/>
  <c r="X7" i="48" s="1"/>
  <c r="Y7" i="48" s="1"/>
  <c r="Z7" i="48" s="1"/>
  <c r="Q7" i="48" s="1"/>
  <c r="U8" i="48"/>
  <c r="X8" i="48" s="1"/>
  <c r="Y8" i="48" s="1"/>
  <c r="Z8" i="48" s="1"/>
  <c r="Q8" i="48" s="1"/>
  <c r="P8" i="48"/>
  <c r="R8" i="48" s="1"/>
  <c r="U9" i="48"/>
  <c r="X9" i="48" s="1"/>
  <c r="Y9" i="48" s="1"/>
  <c r="Z9" i="48" s="1"/>
  <c r="Q9" i="48" s="1"/>
  <c r="P9" i="48"/>
  <c r="R9" i="48" s="1"/>
  <c r="U10" i="48"/>
  <c r="X10" i="48" s="1"/>
  <c r="Y10" i="48" s="1"/>
  <c r="Z10" i="48" s="1"/>
  <c r="Q10" i="48" s="1"/>
  <c r="P10" i="48"/>
  <c r="R10" i="48" s="1"/>
  <c r="U11" i="48"/>
  <c r="X11" i="48" s="1"/>
  <c r="Y11" i="48" s="1"/>
  <c r="Z11" i="48" s="1"/>
  <c r="Q11" i="48" s="1"/>
  <c r="P11" i="48"/>
  <c r="R11" i="48" s="1"/>
  <c r="U12" i="48"/>
  <c r="X12" i="48" s="1"/>
  <c r="Y12" i="48" s="1"/>
  <c r="Z12" i="48" s="1"/>
  <c r="Q12" i="48" s="1"/>
  <c r="P12" i="48"/>
  <c r="R12" i="48" s="1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12" i="48"/>
  <c r="P6" i="48" l="1"/>
  <c r="R6" i="48" s="1"/>
  <c r="F11" i="48"/>
  <c r="F26" i="48"/>
  <c r="G12" i="48"/>
  <c r="G13" i="48" s="1"/>
  <c r="G14" i="48" s="1"/>
  <c r="G15" i="48" s="1"/>
  <c r="G16" i="48" s="1"/>
  <c r="G17" i="48" s="1"/>
  <c r="G18" i="48" s="1"/>
  <c r="G19" i="48" s="1"/>
  <c r="G20" i="48" s="1"/>
  <c r="G21" i="48" s="1"/>
  <c r="G22" i="48" s="1"/>
  <c r="G23" i="48" s="1"/>
  <c r="G24" i="48" s="1"/>
  <c r="G25" i="48" l="1"/>
  <c r="S12" i="48"/>
  <c r="S11" i="48"/>
  <c r="S10" i="48"/>
  <c r="S9" i="48"/>
  <c r="S8" i="48"/>
  <c r="S7" i="48"/>
  <c r="S6" i="48"/>
  <c r="S5" i="48"/>
  <c r="S4" i="48"/>
  <c r="F31" i="48"/>
  <c r="W31" i="47" l="1"/>
  <c r="W30" i="47"/>
  <c r="W27" i="47"/>
  <c r="W24" i="47"/>
  <c r="W22" i="47"/>
  <c r="W33" i="47" s="1"/>
  <c r="E25" i="47"/>
  <c r="F36" i="47"/>
  <c r="G33" i="47"/>
  <c r="C27" i="47"/>
  <c r="E24" i="47"/>
  <c r="E23" i="47"/>
  <c r="E22" i="47"/>
  <c r="E21" i="47"/>
  <c r="E20" i="47"/>
  <c r="E19" i="47"/>
  <c r="E18" i="47"/>
  <c r="E17" i="47"/>
  <c r="E16" i="47"/>
  <c r="E15" i="47"/>
  <c r="E14" i="47"/>
  <c r="E13" i="47"/>
  <c r="W12" i="47"/>
  <c r="V12" i="47"/>
  <c r="M12" i="47"/>
  <c r="N12" i="47" s="1"/>
  <c r="I12" i="47"/>
  <c r="E12" i="47"/>
  <c r="W11" i="47"/>
  <c r="V11" i="47"/>
  <c r="M11" i="47"/>
  <c r="I11" i="47"/>
  <c r="E11" i="47"/>
  <c r="W10" i="47"/>
  <c r="V10" i="47"/>
  <c r="M10" i="47"/>
  <c r="I10" i="47"/>
  <c r="W9" i="47"/>
  <c r="V9" i="47"/>
  <c r="M9" i="47"/>
  <c r="I9" i="47"/>
  <c r="W8" i="47"/>
  <c r="V8" i="47"/>
  <c r="M8" i="47"/>
  <c r="I8" i="47"/>
  <c r="W7" i="47"/>
  <c r="V7" i="47"/>
  <c r="M7" i="47"/>
  <c r="I7" i="47"/>
  <c r="W6" i="47"/>
  <c r="V6" i="47"/>
  <c r="M6" i="47"/>
  <c r="I6" i="47"/>
  <c r="AE5" i="47"/>
  <c r="W5" i="47"/>
  <c r="V5" i="47"/>
  <c r="M5" i="47"/>
  <c r="I5" i="47"/>
  <c r="W4" i="47"/>
  <c r="V4" i="47"/>
  <c r="M4" i="47"/>
  <c r="I4" i="47"/>
  <c r="F83" i="156" l="1"/>
  <c r="J83" i="156" s="1"/>
  <c r="V36" i="47"/>
  <c r="N4" i="47"/>
  <c r="P4" i="47" s="1"/>
  <c r="R4" i="47" s="1"/>
  <c r="N5" i="47"/>
  <c r="F11" i="47"/>
  <c r="N6" i="47"/>
  <c r="N7" i="47"/>
  <c r="N8" i="47"/>
  <c r="N9" i="47"/>
  <c r="P9" i="47" s="1"/>
  <c r="R9" i="47" s="1"/>
  <c r="N10" i="47"/>
  <c r="E26" i="47"/>
  <c r="E27" i="47" s="1"/>
  <c r="F27" i="47" s="1"/>
  <c r="N11" i="47"/>
  <c r="X27" i="47"/>
  <c r="W32" i="47"/>
  <c r="U4" i="47"/>
  <c r="X4" i="47" s="1"/>
  <c r="Y4" i="47" s="1"/>
  <c r="Z4" i="47" s="1"/>
  <c r="Q4" i="47" s="1"/>
  <c r="U5" i="47"/>
  <c r="X5" i="47" s="1"/>
  <c r="Y5" i="47" s="1"/>
  <c r="Z5" i="47" s="1"/>
  <c r="Q5" i="47" s="1"/>
  <c r="P5" i="47"/>
  <c r="R5" i="47" s="1"/>
  <c r="U6" i="47"/>
  <c r="X6" i="47" s="1"/>
  <c r="Y6" i="47" s="1"/>
  <c r="Z6" i="47" s="1"/>
  <c r="Q6" i="47" s="1"/>
  <c r="P6" i="47"/>
  <c r="R6" i="47" s="1"/>
  <c r="U7" i="47"/>
  <c r="X7" i="47" s="1"/>
  <c r="Y7" i="47" s="1"/>
  <c r="Z7" i="47" s="1"/>
  <c r="Q7" i="47" s="1"/>
  <c r="P7" i="47"/>
  <c r="R7" i="47" s="1"/>
  <c r="U8" i="47"/>
  <c r="X8" i="47" s="1"/>
  <c r="Y8" i="47" s="1"/>
  <c r="Z8" i="47" s="1"/>
  <c r="Q8" i="47" s="1"/>
  <c r="P8" i="47"/>
  <c r="R8" i="47" s="1"/>
  <c r="U9" i="47"/>
  <c r="X9" i="47" s="1"/>
  <c r="Y9" i="47" s="1"/>
  <c r="Z9" i="47" s="1"/>
  <c r="Q9" i="47" s="1"/>
  <c r="U10" i="47"/>
  <c r="X10" i="47" s="1"/>
  <c r="Y10" i="47" s="1"/>
  <c r="Z10" i="47" s="1"/>
  <c r="Q10" i="47" s="1"/>
  <c r="P10" i="47"/>
  <c r="R10" i="47" s="1"/>
  <c r="U11" i="47"/>
  <c r="X11" i="47" s="1"/>
  <c r="Y11" i="47" s="1"/>
  <c r="Z11" i="47" s="1"/>
  <c r="Q11" i="47" s="1"/>
  <c r="P11" i="47"/>
  <c r="R11" i="47" s="1"/>
  <c r="U12" i="47"/>
  <c r="X12" i="47" s="1"/>
  <c r="Y12" i="47" s="1"/>
  <c r="Z12" i="47" s="1"/>
  <c r="Q12" i="47" s="1"/>
  <c r="P12" i="47"/>
  <c r="R12" i="47" s="1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12" i="47"/>
  <c r="F26" i="47" l="1"/>
  <c r="G12" i="47"/>
  <c r="G13" i="47" s="1"/>
  <c r="G14" i="47" s="1"/>
  <c r="G15" i="47" s="1"/>
  <c r="G16" i="47" s="1"/>
  <c r="G17" i="47" s="1"/>
  <c r="G18" i="47" s="1"/>
  <c r="G19" i="47" s="1"/>
  <c r="G20" i="47" s="1"/>
  <c r="G21" i="47" s="1"/>
  <c r="G22" i="47" s="1"/>
  <c r="G23" i="47" s="1"/>
  <c r="G24" i="47" s="1"/>
  <c r="G25" i="47" l="1"/>
  <c r="S12" i="47"/>
  <c r="S11" i="47"/>
  <c r="S10" i="47"/>
  <c r="S9" i="47"/>
  <c r="S8" i="47"/>
  <c r="S7" i="47"/>
  <c r="S6" i="47"/>
  <c r="S5" i="47"/>
  <c r="S4" i="47"/>
  <c r="F31" i="47"/>
  <c r="W31" i="46" l="1"/>
  <c r="W30" i="46"/>
  <c r="W27" i="46"/>
  <c r="W24" i="46"/>
  <c r="W22" i="46"/>
  <c r="W33" i="46" s="1"/>
  <c r="E25" i="46"/>
  <c r="F36" i="46"/>
  <c r="G33" i="46"/>
  <c r="C27" i="46"/>
  <c r="E24" i="46"/>
  <c r="E23" i="46"/>
  <c r="E22" i="46"/>
  <c r="E21" i="46"/>
  <c r="E20" i="46"/>
  <c r="E19" i="46"/>
  <c r="E18" i="46"/>
  <c r="E17" i="46"/>
  <c r="E16" i="46"/>
  <c r="E15" i="46"/>
  <c r="E14" i="46"/>
  <c r="E13" i="46"/>
  <c r="W12" i="46"/>
  <c r="V12" i="46"/>
  <c r="M12" i="46"/>
  <c r="N12" i="46" s="1"/>
  <c r="I12" i="46"/>
  <c r="E12" i="46"/>
  <c r="W11" i="46"/>
  <c r="V11" i="46"/>
  <c r="M11" i="46"/>
  <c r="I11" i="46"/>
  <c r="E11" i="46"/>
  <c r="W10" i="46"/>
  <c r="V10" i="46"/>
  <c r="M10" i="46"/>
  <c r="I10" i="46"/>
  <c r="W9" i="46"/>
  <c r="V9" i="46"/>
  <c r="M9" i="46"/>
  <c r="I9" i="46"/>
  <c r="W8" i="46"/>
  <c r="V8" i="46"/>
  <c r="M8" i="46"/>
  <c r="I8" i="46"/>
  <c r="W7" i="46"/>
  <c r="V7" i="46"/>
  <c r="M7" i="46"/>
  <c r="I7" i="46"/>
  <c r="W6" i="46"/>
  <c r="V6" i="46"/>
  <c r="M6" i="46"/>
  <c r="I6" i="46"/>
  <c r="AE5" i="46"/>
  <c r="W5" i="46"/>
  <c r="V5" i="46"/>
  <c r="M5" i="46"/>
  <c r="I5" i="46"/>
  <c r="W4" i="46"/>
  <c r="V4" i="46"/>
  <c r="M4" i="46"/>
  <c r="I4" i="46"/>
  <c r="V36" i="46" l="1"/>
  <c r="F82" i="156"/>
  <c r="J82" i="156" s="1"/>
  <c r="N4" i="46"/>
  <c r="N5" i="46"/>
  <c r="F11" i="46"/>
  <c r="N6" i="46"/>
  <c r="N7" i="46"/>
  <c r="N8" i="46"/>
  <c r="N9" i="46"/>
  <c r="P9" i="46" s="1"/>
  <c r="R9" i="46" s="1"/>
  <c r="N10" i="46"/>
  <c r="E26" i="46"/>
  <c r="E27" i="46" s="1"/>
  <c r="F27" i="46" s="1"/>
  <c r="N11" i="46"/>
  <c r="X27" i="46"/>
  <c r="W32" i="46"/>
  <c r="U4" i="46"/>
  <c r="X4" i="46" s="1"/>
  <c r="Y4" i="46" s="1"/>
  <c r="Z4" i="46" s="1"/>
  <c r="Q4" i="46" s="1"/>
  <c r="P4" i="46"/>
  <c r="R4" i="46" s="1"/>
  <c r="U5" i="46"/>
  <c r="X5" i="46" s="1"/>
  <c r="Y5" i="46" s="1"/>
  <c r="Z5" i="46" s="1"/>
  <c r="Q5" i="46" s="1"/>
  <c r="P5" i="46"/>
  <c r="R5" i="46" s="1"/>
  <c r="U6" i="46"/>
  <c r="X6" i="46" s="1"/>
  <c r="Y6" i="46" s="1"/>
  <c r="Z6" i="46" s="1"/>
  <c r="Q6" i="46" s="1"/>
  <c r="P6" i="46"/>
  <c r="R6" i="46" s="1"/>
  <c r="U7" i="46"/>
  <c r="X7" i="46" s="1"/>
  <c r="Y7" i="46" s="1"/>
  <c r="Z7" i="46" s="1"/>
  <c r="Q7" i="46" s="1"/>
  <c r="P7" i="46"/>
  <c r="R7" i="46" s="1"/>
  <c r="U8" i="46"/>
  <c r="X8" i="46" s="1"/>
  <c r="Y8" i="46" s="1"/>
  <c r="Z8" i="46" s="1"/>
  <c r="Q8" i="46" s="1"/>
  <c r="P8" i="46"/>
  <c r="R8" i="46" s="1"/>
  <c r="U9" i="46"/>
  <c r="X9" i="46" s="1"/>
  <c r="Y9" i="46" s="1"/>
  <c r="Z9" i="46" s="1"/>
  <c r="Q9" i="46" s="1"/>
  <c r="U10" i="46"/>
  <c r="X10" i="46" s="1"/>
  <c r="Y10" i="46" s="1"/>
  <c r="Z10" i="46" s="1"/>
  <c r="Q10" i="46" s="1"/>
  <c r="P10" i="46"/>
  <c r="R10" i="46" s="1"/>
  <c r="U11" i="46"/>
  <c r="X11" i="46" s="1"/>
  <c r="Y11" i="46" s="1"/>
  <c r="Z11" i="46" s="1"/>
  <c r="Q11" i="46" s="1"/>
  <c r="P11" i="46"/>
  <c r="R11" i="46" s="1"/>
  <c r="U12" i="46"/>
  <c r="X12" i="46" s="1"/>
  <c r="Y12" i="46" s="1"/>
  <c r="Z12" i="46" s="1"/>
  <c r="Q12" i="46" s="1"/>
  <c r="P12" i="46"/>
  <c r="R12" i="46" s="1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12" i="46"/>
  <c r="F26" i="46" l="1"/>
  <c r="G12" i="46"/>
  <c r="G13" i="46" s="1"/>
  <c r="G14" i="46" s="1"/>
  <c r="G15" i="46" s="1"/>
  <c r="G16" i="46" s="1"/>
  <c r="G17" i="46" s="1"/>
  <c r="G18" i="46" s="1"/>
  <c r="G19" i="46" s="1"/>
  <c r="G20" i="46" s="1"/>
  <c r="G21" i="46" s="1"/>
  <c r="G22" i="46" s="1"/>
  <c r="G23" i="46" s="1"/>
  <c r="G24" i="46" s="1"/>
  <c r="G25" i="46" l="1"/>
  <c r="S12" i="46"/>
  <c r="S11" i="46"/>
  <c r="S10" i="46"/>
  <c r="S9" i="46"/>
  <c r="S8" i="46"/>
  <c r="S7" i="46"/>
  <c r="S6" i="46"/>
  <c r="S5" i="46"/>
  <c r="S4" i="46"/>
  <c r="F31" i="46"/>
  <c r="W31" i="45" l="1"/>
  <c r="W30" i="45"/>
  <c r="W27" i="45"/>
  <c r="W24" i="45"/>
  <c r="F81" i="156" s="1"/>
  <c r="J81" i="156" s="1"/>
  <c r="W22" i="45"/>
  <c r="W33" i="45" s="1"/>
  <c r="E25" i="45"/>
  <c r="F36" i="45"/>
  <c r="G33" i="45"/>
  <c r="C27" i="45"/>
  <c r="E24" i="45"/>
  <c r="E23" i="45"/>
  <c r="E22" i="45"/>
  <c r="E21" i="45"/>
  <c r="E20" i="45"/>
  <c r="E19" i="45"/>
  <c r="E18" i="45"/>
  <c r="E17" i="45"/>
  <c r="E16" i="45"/>
  <c r="E15" i="45"/>
  <c r="E14" i="45"/>
  <c r="E13" i="45"/>
  <c r="W12" i="45"/>
  <c r="V12" i="45"/>
  <c r="M12" i="45"/>
  <c r="N12" i="45" s="1"/>
  <c r="I12" i="45"/>
  <c r="E12" i="45"/>
  <c r="W11" i="45"/>
  <c r="V11" i="45"/>
  <c r="M11" i="45"/>
  <c r="I11" i="45"/>
  <c r="E11" i="45"/>
  <c r="W10" i="45"/>
  <c r="V10" i="45"/>
  <c r="M10" i="45"/>
  <c r="I10" i="45"/>
  <c r="W9" i="45"/>
  <c r="V9" i="45"/>
  <c r="M9" i="45"/>
  <c r="I9" i="45"/>
  <c r="W8" i="45"/>
  <c r="V8" i="45"/>
  <c r="M8" i="45"/>
  <c r="I8" i="45"/>
  <c r="W7" i="45"/>
  <c r="V7" i="45"/>
  <c r="M7" i="45"/>
  <c r="I7" i="45"/>
  <c r="W6" i="45"/>
  <c r="V6" i="45"/>
  <c r="M6" i="45"/>
  <c r="I6" i="45"/>
  <c r="AE5" i="45"/>
  <c r="W5" i="45"/>
  <c r="V5" i="45"/>
  <c r="M5" i="45"/>
  <c r="I5" i="45"/>
  <c r="W4" i="45"/>
  <c r="V4" i="45"/>
  <c r="M4" i="45"/>
  <c r="I4" i="45"/>
  <c r="N4" i="45" l="1"/>
  <c r="N5" i="45"/>
  <c r="F11" i="45"/>
  <c r="N6" i="45"/>
  <c r="U6" i="45" s="1"/>
  <c r="X6" i="45" s="1"/>
  <c r="Y6" i="45" s="1"/>
  <c r="Z6" i="45" s="1"/>
  <c r="Q6" i="45" s="1"/>
  <c r="N7" i="45"/>
  <c r="N8" i="45"/>
  <c r="N9" i="45"/>
  <c r="N10" i="45"/>
  <c r="U10" i="45" s="1"/>
  <c r="X10" i="45" s="1"/>
  <c r="Y10" i="45" s="1"/>
  <c r="Z10" i="45" s="1"/>
  <c r="Q10" i="45" s="1"/>
  <c r="E26" i="45"/>
  <c r="E27" i="45" s="1"/>
  <c r="F27" i="45" s="1"/>
  <c r="N11" i="45"/>
  <c r="V36" i="45"/>
  <c r="X27" i="45"/>
  <c r="W32" i="45"/>
  <c r="U4" i="45"/>
  <c r="X4" i="45" s="1"/>
  <c r="Y4" i="45" s="1"/>
  <c r="Z4" i="45" s="1"/>
  <c r="Q4" i="45" s="1"/>
  <c r="P4" i="45"/>
  <c r="R4" i="45" s="1"/>
  <c r="U5" i="45"/>
  <c r="X5" i="45" s="1"/>
  <c r="Y5" i="45" s="1"/>
  <c r="Z5" i="45" s="1"/>
  <c r="Q5" i="45" s="1"/>
  <c r="P5" i="45"/>
  <c r="R5" i="45" s="1"/>
  <c r="U7" i="45"/>
  <c r="X7" i="45" s="1"/>
  <c r="Y7" i="45" s="1"/>
  <c r="Z7" i="45" s="1"/>
  <c r="Q7" i="45" s="1"/>
  <c r="P7" i="45"/>
  <c r="R7" i="45" s="1"/>
  <c r="U8" i="45"/>
  <c r="X8" i="45" s="1"/>
  <c r="Y8" i="45" s="1"/>
  <c r="Z8" i="45" s="1"/>
  <c r="Q8" i="45" s="1"/>
  <c r="P8" i="45"/>
  <c r="R8" i="45" s="1"/>
  <c r="U9" i="45"/>
  <c r="X9" i="45" s="1"/>
  <c r="Y9" i="45" s="1"/>
  <c r="Z9" i="45" s="1"/>
  <c r="Q9" i="45" s="1"/>
  <c r="P9" i="45"/>
  <c r="R9" i="45" s="1"/>
  <c r="U11" i="45"/>
  <c r="X11" i="45" s="1"/>
  <c r="Y11" i="45" s="1"/>
  <c r="Z11" i="45" s="1"/>
  <c r="Q11" i="45" s="1"/>
  <c r="P11" i="45"/>
  <c r="R11" i="45" s="1"/>
  <c r="U12" i="45"/>
  <c r="X12" i="45" s="1"/>
  <c r="Y12" i="45" s="1"/>
  <c r="Z12" i="45" s="1"/>
  <c r="Q12" i="45" s="1"/>
  <c r="P12" i="45"/>
  <c r="R12" i="45" s="1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12" i="45"/>
  <c r="P10" i="45" l="1"/>
  <c r="R10" i="45" s="1"/>
  <c r="P6" i="45"/>
  <c r="R6" i="45" s="1"/>
  <c r="F26" i="45"/>
  <c r="G12" i="45"/>
  <c r="G13" i="45" s="1"/>
  <c r="G14" i="45" s="1"/>
  <c r="G15" i="45" s="1"/>
  <c r="G16" i="45" s="1"/>
  <c r="G17" i="45" s="1"/>
  <c r="G18" i="45" s="1"/>
  <c r="G19" i="45" s="1"/>
  <c r="G20" i="45" s="1"/>
  <c r="G21" i="45" s="1"/>
  <c r="G22" i="45" s="1"/>
  <c r="G23" i="45" s="1"/>
  <c r="G24" i="45" s="1"/>
  <c r="G25" i="45" l="1"/>
  <c r="S12" i="45"/>
  <c r="S11" i="45"/>
  <c r="S10" i="45"/>
  <c r="S9" i="45"/>
  <c r="S8" i="45"/>
  <c r="S7" i="45"/>
  <c r="S6" i="45"/>
  <c r="S5" i="45"/>
  <c r="S4" i="45"/>
  <c r="F31" i="45"/>
  <c r="W31" i="44" l="1"/>
  <c r="W30" i="44"/>
  <c r="W27" i="44"/>
  <c r="W24" i="44"/>
  <c r="W22" i="44"/>
  <c r="W33" i="44" s="1"/>
  <c r="F36" i="44"/>
  <c r="G33" i="44"/>
  <c r="C27" i="44"/>
  <c r="E25" i="44"/>
  <c r="E24" i="44"/>
  <c r="E23" i="44"/>
  <c r="E22" i="44"/>
  <c r="E21" i="44"/>
  <c r="E20" i="44"/>
  <c r="E19" i="44"/>
  <c r="E18" i="44"/>
  <c r="E17" i="44"/>
  <c r="E16" i="44"/>
  <c r="E15" i="44"/>
  <c r="E14" i="44"/>
  <c r="E13" i="44"/>
  <c r="W12" i="44"/>
  <c r="V12" i="44"/>
  <c r="M12" i="44"/>
  <c r="I12" i="44"/>
  <c r="E12" i="44"/>
  <c r="W11" i="44"/>
  <c r="V11" i="44"/>
  <c r="M11" i="44"/>
  <c r="I11" i="44"/>
  <c r="E11" i="44"/>
  <c r="W10" i="44"/>
  <c r="V10" i="44"/>
  <c r="M10" i="44"/>
  <c r="I10" i="44"/>
  <c r="W9" i="44"/>
  <c r="V9" i="44"/>
  <c r="M9" i="44"/>
  <c r="I9" i="44"/>
  <c r="W8" i="44"/>
  <c r="V8" i="44"/>
  <c r="M8" i="44"/>
  <c r="I8" i="44"/>
  <c r="W7" i="44"/>
  <c r="V7" i="44"/>
  <c r="M7" i="44"/>
  <c r="I7" i="44"/>
  <c r="W6" i="44"/>
  <c r="V6" i="44"/>
  <c r="M6" i="44"/>
  <c r="I6" i="44"/>
  <c r="AE5" i="44"/>
  <c r="W5" i="44"/>
  <c r="V5" i="44"/>
  <c r="M5" i="44"/>
  <c r="N5" i="44" s="1"/>
  <c r="I5" i="44"/>
  <c r="W4" i="44"/>
  <c r="V4" i="44"/>
  <c r="M4" i="44"/>
  <c r="N4" i="44" s="1"/>
  <c r="I4" i="44"/>
  <c r="N6" i="44" l="1"/>
  <c r="N7" i="44"/>
  <c r="N8" i="44"/>
  <c r="P8" i="44" s="1"/>
  <c r="R8" i="44" s="1"/>
  <c r="N9" i="44"/>
  <c r="N10" i="44"/>
  <c r="E26" i="44"/>
  <c r="E27" i="44" s="1"/>
  <c r="F27" i="44" s="1"/>
  <c r="F12" i="44"/>
  <c r="N11" i="44"/>
  <c r="N12" i="44"/>
  <c r="F79" i="156"/>
  <c r="J79" i="156" s="1"/>
  <c r="V36" i="44"/>
  <c r="X27" i="44"/>
  <c r="W32" i="44"/>
  <c r="U4" i="44"/>
  <c r="X4" i="44" s="1"/>
  <c r="Y4" i="44" s="1"/>
  <c r="Z4" i="44" s="1"/>
  <c r="Q4" i="44" s="1"/>
  <c r="P4" i="44"/>
  <c r="R4" i="44" s="1"/>
  <c r="U5" i="44"/>
  <c r="X5" i="44" s="1"/>
  <c r="Y5" i="44" s="1"/>
  <c r="Z5" i="44" s="1"/>
  <c r="Q5" i="44" s="1"/>
  <c r="P5" i="44"/>
  <c r="R5" i="44" s="1"/>
  <c r="U6" i="44"/>
  <c r="X6" i="44" s="1"/>
  <c r="Y6" i="44" s="1"/>
  <c r="Z6" i="44" s="1"/>
  <c r="Q6" i="44" s="1"/>
  <c r="P6" i="44"/>
  <c r="R6" i="44" s="1"/>
  <c r="U7" i="44"/>
  <c r="X7" i="44" s="1"/>
  <c r="Y7" i="44" s="1"/>
  <c r="Z7" i="44" s="1"/>
  <c r="Q7" i="44" s="1"/>
  <c r="P7" i="44"/>
  <c r="R7" i="44" s="1"/>
  <c r="U8" i="44"/>
  <c r="X8" i="44" s="1"/>
  <c r="Y8" i="44" s="1"/>
  <c r="Z8" i="44" s="1"/>
  <c r="Q8" i="44" s="1"/>
  <c r="U9" i="44"/>
  <c r="X9" i="44" s="1"/>
  <c r="Y9" i="44" s="1"/>
  <c r="Z9" i="44" s="1"/>
  <c r="Q9" i="44" s="1"/>
  <c r="P9" i="44"/>
  <c r="R9" i="44" s="1"/>
  <c r="U10" i="44"/>
  <c r="X10" i="44" s="1"/>
  <c r="Y10" i="44" s="1"/>
  <c r="Z10" i="44" s="1"/>
  <c r="Q10" i="44" s="1"/>
  <c r="P10" i="44"/>
  <c r="R10" i="44" s="1"/>
  <c r="U11" i="44"/>
  <c r="X11" i="44" s="1"/>
  <c r="Y11" i="44" s="1"/>
  <c r="Z11" i="44" s="1"/>
  <c r="Q11" i="44" s="1"/>
  <c r="P11" i="44"/>
  <c r="R11" i="44" s="1"/>
  <c r="U12" i="44"/>
  <c r="X12" i="44" s="1"/>
  <c r="Y12" i="44" s="1"/>
  <c r="Z12" i="44" s="1"/>
  <c r="Q12" i="44" s="1"/>
  <c r="P12" i="44"/>
  <c r="R12" i="44" s="1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11" i="44" l="1"/>
  <c r="F26" i="44"/>
  <c r="G12" i="44"/>
  <c r="G13" i="44" s="1"/>
  <c r="G14" i="44" s="1"/>
  <c r="G15" i="44" s="1"/>
  <c r="G16" i="44" s="1"/>
  <c r="G17" i="44" s="1"/>
  <c r="G18" i="44" s="1"/>
  <c r="G19" i="44" s="1"/>
  <c r="G20" i="44" s="1"/>
  <c r="G21" i="44" s="1"/>
  <c r="G22" i="44" s="1"/>
  <c r="G23" i="44" s="1"/>
  <c r="G24" i="44" s="1"/>
  <c r="G25" i="44" l="1"/>
  <c r="S12" i="44"/>
  <c r="S11" i="44"/>
  <c r="S10" i="44"/>
  <c r="S9" i="44"/>
  <c r="S8" i="44"/>
  <c r="S7" i="44"/>
  <c r="S6" i="44"/>
  <c r="S5" i="44"/>
  <c r="S4" i="44"/>
  <c r="F31" i="44"/>
  <c r="W31" i="43" l="1"/>
  <c r="W30" i="43"/>
  <c r="W27" i="43"/>
  <c r="W24" i="43"/>
  <c r="W22" i="43"/>
  <c r="W33" i="43" s="1"/>
  <c r="F36" i="43"/>
  <c r="G33" i="43"/>
  <c r="C27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W12" i="43"/>
  <c r="V12" i="43"/>
  <c r="M12" i="43"/>
  <c r="N12" i="43" s="1"/>
  <c r="I12" i="43"/>
  <c r="E12" i="43"/>
  <c r="W11" i="43"/>
  <c r="V11" i="43"/>
  <c r="M11" i="43"/>
  <c r="N11" i="43" s="1"/>
  <c r="I11" i="43"/>
  <c r="E11" i="43"/>
  <c r="W10" i="43"/>
  <c r="V10" i="43"/>
  <c r="M10" i="43"/>
  <c r="N10" i="43" s="1"/>
  <c r="I10" i="43"/>
  <c r="W9" i="43"/>
  <c r="V9" i="43"/>
  <c r="M9" i="43"/>
  <c r="N9" i="43" s="1"/>
  <c r="I9" i="43"/>
  <c r="W8" i="43"/>
  <c r="V8" i="43"/>
  <c r="M8" i="43"/>
  <c r="N8" i="43" s="1"/>
  <c r="I8" i="43"/>
  <c r="W7" i="43"/>
  <c r="V7" i="43"/>
  <c r="M7" i="43"/>
  <c r="N7" i="43" s="1"/>
  <c r="I7" i="43"/>
  <c r="W6" i="43"/>
  <c r="V6" i="43"/>
  <c r="M6" i="43"/>
  <c r="N6" i="43" s="1"/>
  <c r="I6" i="43"/>
  <c r="AE5" i="43"/>
  <c r="W5" i="43"/>
  <c r="V5" i="43"/>
  <c r="M5" i="43"/>
  <c r="N5" i="43" s="1"/>
  <c r="I5" i="43"/>
  <c r="W4" i="43"/>
  <c r="V4" i="43"/>
  <c r="M4" i="43"/>
  <c r="N4" i="43" s="1"/>
  <c r="I4" i="43"/>
  <c r="V36" i="43" l="1"/>
  <c r="F78" i="156"/>
  <c r="J78" i="156" s="1"/>
  <c r="F11" i="43"/>
  <c r="E26" i="43"/>
  <c r="E27" i="43" s="1"/>
  <c r="F27" i="43" s="1"/>
  <c r="X27" i="43"/>
  <c r="W32" i="43"/>
  <c r="U4" i="43"/>
  <c r="X4" i="43" s="1"/>
  <c r="Y4" i="43" s="1"/>
  <c r="Z4" i="43" s="1"/>
  <c r="Q4" i="43" s="1"/>
  <c r="P4" i="43"/>
  <c r="R4" i="43" s="1"/>
  <c r="U5" i="43"/>
  <c r="X5" i="43" s="1"/>
  <c r="Y5" i="43" s="1"/>
  <c r="Z5" i="43" s="1"/>
  <c r="Q5" i="43" s="1"/>
  <c r="P5" i="43"/>
  <c r="R5" i="43" s="1"/>
  <c r="U6" i="43"/>
  <c r="X6" i="43" s="1"/>
  <c r="Y6" i="43" s="1"/>
  <c r="Z6" i="43" s="1"/>
  <c r="Q6" i="43" s="1"/>
  <c r="P6" i="43"/>
  <c r="R6" i="43" s="1"/>
  <c r="U7" i="43"/>
  <c r="X7" i="43" s="1"/>
  <c r="Y7" i="43" s="1"/>
  <c r="Z7" i="43" s="1"/>
  <c r="Q7" i="43" s="1"/>
  <c r="P7" i="43"/>
  <c r="R7" i="43" s="1"/>
  <c r="U8" i="43"/>
  <c r="X8" i="43" s="1"/>
  <c r="Y8" i="43" s="1"/>
  <c r="Z8" i="43" s="1"/>
  <c r="Q8" i="43" s="1"/>
  <c r="P8" i="43"/>
  <c r="R8" i="43" s="1"/>
  <c r="U9" i="43"/>
  <c r="X9" i="43" s="1"/>
  <c r="Y9" i="43" s="1"/>
  <c r="Z9" i="43" s="1"/>
  <c r="Q9" i="43" s="1"/>
  <c r="P9" i="43"/>
  <c r="R9" i="43" s="1"/>
  <c r="U10" i="43"/>
  <c r="X10" i="43" s="1"/>
  <c r="Y10" i="43" s="1"/>
  <c r="Z10" i="43" s="1"/>
  <c r="Q10" i="43" s="1"/>
  <c r="P10" i="43"/>
  <c r="R10" i="43" s="1"/>
  <c r="U11" i="43"/>
  <c r="X11" i="43" s="1"/>
  <c r="Y11" i="43" s="1"/>
  <c r="Z11" i="43" s="1"/>
  <c r="Q11" i="43" s="1"/>
  <c r="P11" i="43"/>
  <c r="R11" i="43" s="1"/>
  <c r="U12" i="43"/>
  <c r="X12" i="43" s="1"/>
  <c r="Y12" i="43" s="1"/>
  <c r="Z12" i="43" s="1"/>
  <c r="Q12" i="43" s="1"/>
  <c r="P12" i="43"/>
  <c r="R12" i="43" s="1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12" i="43"/>
  <c r="F26" i="43" l="1"/>
  <c r="G12" i="43"/>
  <c r="G13" i="43" s="1"/>
  <c r="G14" i="43" s="1"/>
  <c r="G15" i="43" s="1"/>
  <c r="G16" i="43" s="1"/>
  <c r="G17" i="43" s="1"/>
  <c r="G18" i="43" s="1"/>
  <c r="G19" i="43" s="1"/>
  <c r="G20" i="43" s="1"/>
  <c r="G21" i="43" s="1"/>
  <c r="G22" i="43" s="1"/>
  <c r="G23" i="43" s="1"/>
  <c r="G24" i="43" s="1"/>
  <c r="G25" i="43" l="1"/>
  <c r="S12" i="43"/>
  <c r="S11" i="43"/>
  <c r="S10" i="43"/>
  <c r="S9" i="43"/>
  <c r="S8" i="43"/>
  <c r="S7" i="43"/>
  <c r="S6" i="43"/>
  <c r="S5" i="43"/>
  <c r="S4" i="43"/>
  <c r="F31" i="43"/>
  <c r="W27" i="42" l="1"/>
  <c r="W31" i="42"/>
  <c r="W30" i="42"/>
  <c r="W24" i="42"/>
  <c r="W22" i="42"/>
  <c r="W33" i="42" s="1"/>
  <c r="F36" i="42"/>
  <c r="G33" i="42"/>
  <c r="C27" i="42"/>
  <c r="E25" i="42"/>
  <c r="E24" i="42"/>
  <c r="E23" i="42"/>
  <c r="E22" i="42"/>
  <c r="E21" i="42"/>
  <c r="E20" i="42"/>
  <c r="E19" i="42"/>
  <c r="E18" i="42"/>
  <c r="E17" i="42"/>
  <c r="E16" i="42"/>
  <c r="E15" i="42"/>
  <c r="E14" i="42"/>
  <c r="E13" i="42"/>
  <c r="W12" i="42"/>
  <c r="V12" i="42"/>
  <c r="M12" i="42"/>
  <c r="N12" i="42" s="1"/>
  <c r="I12" i="42"/>
  <c r="E12" i="42"/>
  <c r="W11" i="42"/>
  <c r="V11" i="42"/>
  <c r="M11" i="42"/>
  <c r="N11" i="42" s="1"/>
  <c r="I11" i="42"/>
  <c r="E11" i="42"/>
  <c r="W10" i="42"/>
  <c r="V10" i="42"/>
  <c r="M10" i="42"/>
  <c r="N10" i="42" s="1"/>
  <c r="I10" i="42"/>
  <c r="W9" i="42"/>
  <c r="V9" i="42"/>
  <c r="M9" i="42"/>
  <c r="N9" i="42" s="1"/>
  <c r="I9" i="42"/>
  <c r="W8" i="42"/>
  <c r="V8" i="42"/>
  <c r="M8" i="42"/>
  <c r="N8" i="42" s="1"/>
  <c r="I8" i="42"/>
  <c r="W7" i="42"/>
  <c r="V7" i="42"/>
  <c r="M7" i="42"/>
  <c r="N7" i="42" s="1"/>
  <c r="I7" i="42"/>
  <c r="W6" i="42"/>
  <c r="V6" i="42"/>
  <c r="M6" i="42"/>
  <c r="N6" i="42" s="1"/>
  <c r="I6" i="42"/>
  <c r="AE5" i="42"/>
  <c r="W5" i="42"/>
  <c r="V5" i="42"/>
  <c r="M5" i="42"/>
  <c r="N5" i="42" s="1"/>
  <c r="I5" i="42"/>
  <c r="W4" i="42"/>
  <c r="V4" i="42"/>
  <c r="M4" i="42"/>
  <c r="N4" i="42" s="1"/>
  <c r="I4" i="42"/>
  <c r="V36" i="42" l="1"/>
  <c r="F113" i="156"/>
  <c r="J113" i="156" s="1"/>
  <c r="E26" i="42"/>
  <c r="E27" i="42" s="1"/>
  <c r="F27" i="42" s="1"/>
  <c r="X27" i="42"/>
  <c r="W32" i="42"/>
  <c r="U4" i="42"/>
  <c r="X4" i="42" s="1"/>
  <c r="Y4" i="42" s="1"/>
  <c r="Z4" i="42" s="1"/>
  <c r="Q4" i="42" s="1"/>
  <c r="P4" i="42"/>
  <c r="R4" i="42" s="1"/>
  <c r="U5" i="42"/>
  <c r="X5" i="42" s="1"/>
  <c r="Y5" i="42" s="1"/>
  <c r="Z5" i="42" s="1"/>
  <c r="Q5" i="42" s="1"/>
  <c r="P5" i="42"/>
  <c r="R5" i="42" s="1"/>
  <c r="U6" i="42"/>
  <c r="X6" i="42" s="1"/>
  <c r="Y6" i="42" s="1"/>
  <c r="Z6" i="42" s="1"/>
  <c r="Q6" i="42" s="1"/>
  <c r="P6" i="42"/>
  <c r="R6" i="42" s="1"/>
  <c r="U7" i="42"/>
  <c r="X7" i="42" s="1"/>
  <c r="Y7" i="42" s="1"/>
  <c r="Z7" i="42" s="1"/>
  <c r="Q7" i="42" s="1"/>
  <c r="P7" i="42"/>
  <c r="R7" i="42" s="1"/>
  <c r="U8" i="42"/>
  <c r="X8" i="42" s="1"/>
  <c r="Y8" i="42" s="1"/>
  <c r="Z8" i="42" s="1"/>
  <c r="Q8" i="42" s="1"/>
  <c r="P8" i="42"/>
  <c r="R8" i="42" s="1"/>
  <c r="U9" i="42"/>
  <c r="X9" i="42" s="1"/>
  <c r="Y9" i="42" s="1"/>
  <c r="Z9" i="42" s="1"/>
  <c r="Q9" i="42" s="1"/>
  <c r="P9" i="42"/>
  <c r="R9" i="42" s="1"/>
  <c r="U10" i="42"/>
  <c r="X10" i="42" s="1"/>
  <c r="Y10" i="42" s="1"/>
  <c r="Z10" i="42" s="1"/>
  <c r="Q10" i="42" s="1"/>
  <c r="P10" i="42"/>
  <c r="R10" i="42" s="1"/>
  <c r="U11" i="42"/>
  <c r="X11" i="42" s="1"/>
  <c r="Y11" i="42" s="1"/>
  <c r="Z11" i="42" s="1"/>
  <c r="Q11" i="42" s="1"/>
  <c r="P11" i="42"/>
  <c r="R11" i="42" s="1"/>
  <c r="U12" i="42"/>
  <c r="X12" i="42" s="1"/>
  <c r="Y12" i="42" s="1"/>
  <c r="Z12" i="42" s="1"/>
  <c r="Q12" i="42" s="1"/>
  <c r="P12" i="42"/>
  <c r="R12" i="42" s="1"/>
  <c r="F13" i="42"/>
  <c r="F14" i="42"/>
  <c r="F15" i="42"/>
  <c r="F16" i="42"/>
  <c r="F17" i="42"/>
  <c r="F18" i="42"/>
  <c r="F19" i="42"/>
  <c r="F20" i="42"/>
  <c r="F21" i="42"/>
  <c r="F22" i="42"/>
  <c r="F23" i="42"/>
  <c r="F24" i="42"/>
  <c r="F25" i="42"/>
  <c r="F12" i="42"/>
  <c r="F11" i="42" l="1"/>
  <c r="F26" i="42"/>
  <c r="G12" i="42"/>
  <c r="G13" i="42" s="1"/>
  <c r="G14" i="42" s="1"/>
  <c r="G15" i="42" s="1"/>
  <c r="G16" i="42" s="1"/>
  <c r="G17" i="42" s="1"/>
  <c r="G18" i="42" s="1"/>
  <c r="G19" i="42" s="1"/>
  <c r="G20" i="42" s="1"/>
  <c r="G21" i="42" s="1"/>
  <c r="G22" i="42" s="1"/>
  <c r="G23" i="42" s="1"/>
  <c r="G24" i="42" s="1"/>
  <c r="G25" i="42" l="1"/>
  <c r="S12" i="42"/>
  <c r="S11" i="42"/>
  <c r="S10" i="42"/>
  <c r="S9" i="42"/>
  <c r="S8" i="42"/>
  <c r="S7" i="42"/>
  <c r="S6" i="42"/>
  <c r="S5" i="42"/>
  <c r="S4" i="42"/>
  <c r="F31" i="42"/>
  <c r="T12" i="42" l="1"/>
  <c r="S13" i="42"/>
  <c r="T6" i="42" s="1"/>
  <c r="T4" i="42"/>
  <c r="T9" i="42" l="1"/>
  <c r="T11" i="42"/>
  <c r="T8" i="42"/>
  <c r="T7" i="42"/>
  <c r="T5" i="42"/>
  <c r="T10" i="42"/>
  <c r="V36" i="35"/>
  <c r="W31" i="41"/>
  <c r="W30" i="41"/>
  <c r="W27" i="41"/>
  <c r="W24" i="41"/>
  <c r="W22" i="41"/>
  <c r="W33" i="41" s="1"/>
  <c r="F36" i="41"/>
  <c r="G33" i="41"/>
  <c r="C27" i="41"/>
  <c r="E25" i="41"/>
  <c r="E24" i="41"/>
  <c r="E23" i="41"/>
  <c r="E22" i="41"/>
  <c r="E21" i="41"/>
  <c r="E20" i="41"/>
  <c r="E19" i="41"/>
  <c r="E18" i="41"/>
  <c r="E17" i="41"/>
  <c r="E16" i="41"/>
  <c r="E15" i="41"/>
  <c r="E14" i="41"/>
  <c r="E13" i="41"/>
  <c r="W12" i="41"/>
  <c r="V12" i="41"/>
  <c r="M12" i="41"/>
  <c r="N12" i="41" s="1"/>
  <c r="I12" i="41"/>
  <c r="E12" i="41"/>
  <c r="W11" i="41"/>
  <c r="V11" i="41"/>
  <c r="M11" i="41"/>
  <c r="N11" i="41" s="1"/>
  <c r="I11" i="41"/>
  <c r="E11" i="41"/>
  <c r="W10" i="41"/>
  <c r="V10" i="41"/>
  <c r="M10" i="41"/>
  <c r="N10" i="41" s="1"/>
  <c r="I10" i="41"/>
  <c r="W9" i="41"/>
  <c r="V9" i="41"/>
  <c r="M9" i="41"/>
  <c r="N9" i="41" s="1"/>
  <c r="I9" i="41"/>
  <c r="W8" i="41"/>
  <c r="V8" i="41"/>
  <c r="M8" i="41"/>
  <c r="N8" i="41" s="1"/>
  <c r="I8" i="41"/>
  <c r="W7" i="41"/>
  <c r="V7" i="41"/>
  <c r="M7" i="41"/>
  <c r="N7" i="41" s="1"/>
  <c r="I7" i="41"/>
  <c r="W6" i="41"/>
  <c r="V6" i="41"/>
  <c r="M6" i="41"/>
  <c r="N6" i="41" s="1"/>
  <c r="I6" i="41"/>
  <c r="AE5" i="41"/>
  <c r="W5" i="41"/>
  <c r="V5" i="41"/>
  <c r="M5" i="41"/>
  <c r="N5" i="41" s="1"/>
  <c r="I5" i="41"/>
  <c r="W4" i="41"/>
  <c r="V4" i="41"/>
  <c r="M4" i="41"/>
  <c r="N4" i="41" s="1"/>
  <c r="I4" i="41"/>
  <c r="V36" i="41" l="1"/>
  <c r="F51" i="156"/>
  <c r="J51" i="156" s="1"/>
  <c r="F11" i="41"/>
  <c r="E26" i="41"/>
  <c r="E27" i="41" s="1"/>
  <c r="F27" i="41" s="1"/>
  <c r="X27" i="41"/>
  <c r="W32" i="41"/>
  <c r="U4" i="41"/>
  <c r="X4" i="41" s="1"/>
  <c r="Y4" i="41" s="1"/>
  <c r="Z4" i="41" s="1"/>
  <c r="Q4" i="41" s="1"/>
  <c r="P4" i="41"/>
  <c r="R4" i="41" s="1"/>
  <c r="U5" i="41"/>
  <c r="X5" i="41" s="1"/>
  <c r="Y5" i="41" s="1"/>
  <c r="Z5" i="41" s="1"/>
  <c r="Q5" i="41" s="1"/>
  <c r="P5" i="41"/>
  <c r="R5" i="41" s="1"/>
  <c r="U6" i="41"/>
  <c r="X6" i="41" s="1"/>
  <c r="Y6" i="41" s="1"/>
  <c r="Z6" i="41" s="1"/>
  <c r="Q6" i="41" s="1"/>
  <c r="P6" i="41"/>
  <c r="R6" i="41" s="1"/>
  <c r="U7" i="41"/>
  <c r="X7" i="41" s="1"/>
  <c r="Y7" i="41" s="1"/>
  <c r="Z7" i="41" s="1"/>
  <c r="Q7" i="41" s="1"/>
  <c r="P7" i="41"/>
  <c r="R7" i="41" s="1"/>
  <c r="U8" i="41"/>
  <c r="X8" i="41" s="1"/>
  <c r="Y8" i="41" s="1"/>
  <c r="Z8" i="41" s="1"/>
  <c r="Q8" i="41" s="1"/>
  <c r="P8" i="41"/>
  <c r="R8" i="41" s="1"/>
  <c r="U9" i="41"/>
  <c r="X9" i="41" s="1"/>
  <c r="Y9" i="41" s="1"/>
  <c r="Z9" i="41" s="1"/>
  <c r="Q9" i="41" s="1"/>
  <c r="P9" i="41"/>
  <c r="R9" i="41" s="1"/>
  <c r="U10" i="41"/>
  <c r="X10" i="41" s="1"/>
  <c r="Y10" i="41" s="1"/>
  <c r="Z10" i="41" s="1"/>
  <c r="Q10" i="41" s="1"/>
  <c r="P10" i="41"/>
  <c r="R10" i="41" s="1"/>
  <c r="U11" i="41"/>
  <c r="X11" i="41" s="1"/>
  <c r="Y11" i="41" s="1"/>
  <c r="Z11" i="41" s="1"/>
  <c r="Q11" i="41" s="1"/>
  <c r="P11" i="41"/>
  <c r="R11" i="41" s="1"/>
  <c r="U12" i="41"/>
  <c r="X12" i="41" s="1"/>
  <c r="Y12" i="41" s="1"/>
  <c r="Z12" i="41" s="1"/>
  <c r="Q12" i="41" s="1"/>
  <c r="P12" i="41"/>
  <c r="R12" i="41" s="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12" i="41"/>
  <c r="F26" i="41" l="1"/>
  <c r="G12" i="41"/>
  <c r="G13" i="41" s="1"/>
  <c r="G14" i="41" s="1"/>
  <c r="G15" i="41" s="1"/>
  <c r="G16" i="41" s="1"/>
  <c r="G17" i="41" s="1"/>
  <c r="G18" i="41" s="1"/>
  <c r="G19" i="41" s="1"/>
  <c r="G20" i="41" s="1"/>
  <c r="G21" i="41" s="1"/>
  <c r="G22" i="41" s="1"/>
  <c r="G23" i="41" s="1"/>
  <c r="G24" i="41" s="1"/>
  <c r="G25" i="41" l="1"/>
  <c r="S12" i="41"/>
  <c r="S11" i="41"/>
  <c r="S10" i="41"/>
  <c r="S9" i="41"/>
  <c r="S8" i="41"/>
  <c r="S7" i="41"/>
  <c r="S6" i="41"/>
  <c r="S5" i="41"/>
  <c r="S4" i="41"/>
  <c r="F31" i="41"/>
  <c r="T10" i="41" l="1"/>
  <c r="T4" i="41"/>
  <c r="S13" i="41"/>
  <c r="T6" i="41" s="1"/>
  <c r="T12" i="41"/>
  <c r="T7" i="41"/>
  <c r="T8" i="41"/>
  <c r="T5" i="41"/>
  <c r="T9" i="41"/>
  <c r="W31" i="40"/>
  <c r="W30" i="40"/>
  <c r="W27" i="40"/>
  <c r="W24" i="40"/>
  <c r="W22" i="40"/>
  <c r="W33" i="40" s="1"/>
  <c r="F36" i="40"/>
  <c r="G33" i="40"/>
  <c r="C27" i="40"/>
  <c r="E25" i="40"/>
  <c r="E24" i="40"/>
  <c r="E23" i="40"/>
  <c r="E22" i="40"/>
  <c r="E21" i="40"/>
  <c r="E20" i="40"/>
  <c r="E19" i="40"/>
  <c r="E18" i="40"/>
  <c r="E17" i="40"/>
  <c r="E16" i="40"/>
  <c r="E15" i="40"/>
  <c r="E14" i="40"/>
  <c r="E13" i="40"/>
  <c r="W12" i="40"/>
  <c r="V12" i="40"/>
  <c r="M12" i="40"/>
  <c r="N12" i="40" s="1"/>
  <c r="I12" i="40"/>
  <c r="E12" i="40"/>
  <c r="E26" i="40" s="1"/>
  <c r="E27" i="40" s="1"/>
  <c r="F27" i="40" s="1"/>
  <c r="W11" i="40"/>
  <c r="V11" i="40"/>
  <c r="M11" i="40"/>
  <c r="N11" i="40" s="1"/>
  <c r="I11" i="40"/>
  <c r="E11" i="40"/>
  <c r="W10" i="40"/>
  <c r="V10" i="40"/>
  <c r="M10" i="40"/>
  <c r="N10" i="40" s="1"/>
  <c r="I10" i="40"/>
  <c r="W9" i="40"/>
  <c r="V9" i="40"/>
  <c r="M9" i="40"/>
  <c r="N9" i="40" s="1"/>
  <c r="I9" i="40"/>
  <c r="W8" i="40"/>
  <c r="V8" i="40"/>
  <c r="M8" i="40"/>
  <c r="N8" i="40" s="1"/>
  <c r="I8" i="40"/>
  <c r="W7" i="40"/>
  <c r="V7" i="40"/>
  <c r="M7" i="40"/>
  <c r="N7" i="40" s="1"/>
  <c r="I7" i="40"/>
  <c r="W6" i="40"/>
  <c r="V6" i="40"/>
  <c r="M6" i="40"/>
  <c r="N6" i="40" s="1"/>
  <c r="I6" i="40"/>
  <c r="AE5" i="40"/>
  <c r="W5" i="40"/>
  <c r="V5" i="40"/>
  <c r="M5" i="40"/>
  <c r="N5" i="40" s="1"/>
  <c r="I5" i="40"/>
  <c r="W4" i="40"/>
  <c r="V4" i="40"/>
  <c r="M4" i="40"/>
  <c r="N4" i="40" s="1"/>
  <c r="I4" i="40"/>
  <c r="F39" i="156" l="1"/>
  <c r="J39" i="156" s="1"/>
  <c r="V36" i="40"/>
  <c r="T11" i="41"/>
  <c r="F11" i="40"/>
  <c r="X27" i="40"/>
  <c r="W32" i="40"/>
  <c r="U4" i="40"/>
  <c r="X4" i="40" s="1"/>
  <c r="Y4" i="40" s="1"/>
  <c r="Z4" i="40" s="1"/>
  <c r="Q4" i="40" s="1"/>
  <c r="P4" i="40"/>
  <c r="R4" i="40" s="1"/>
  <c r="U5" i="40"/>
  <c r="X5" i="40" s="1"/>
  <c r="Y5" i="40" s="1"/>
  <c r="Z5" i="40" s="1"/>
  <c r="Q5" i="40" s="1"/>
  <c r="P5" i="40"/>
  <c r="R5" i="40" s="1"/>
  <c r="U6" i="40"/>
  <c r="X6" i="40" s="1"/>
  <c r="Y6" i="40" s="1"/>
  <c r="Z6" i="40" s="1"/>
  <c r="Q6" i="40" s="1"/>
  <c r="P6" i="40"/>
  <c r="R6" i="40" s="1"/>
  <c r="U7" i="40"/>
  <c r="X7" i="40" s="1"/>
  <c r="Y7" i="40" s="1"/>
  <c r="Z7" i="40" s="1"/>
  <c r="Q7" i="40" s="1"/>
  <c r="P7" i="40"/>
  <c r="R7" i="40" s="1"/>
  <c r="U8" i="40"/>
  <c r="X8" i="40" s="1"/>
  <c r="Y8" i="40" s="1"/>
  <c r="Z8" i="40" s="1"/>
  <c r="Q8" i="40" s="1"/>
  <c r="P8" i="40"/>
  <c r="R8" i="40" s="1"/>
  <c r="U9" i="40"/>
  <c r="X9" i="40" s="1"/>
  <c r="Y9" i="40" s="1"/>
  <c r="Z9" i="40" s="1"/>
  <c r="Q9" i="40" s="1"/>
  <c r="P9" i="40"/>
  <c r="R9" i="40" s="1"/>
  <c r="U10" i="40"/>
  <c r="X10" i="40" s="1"/>
  <c r="Y10" i="40" s="1"/>
  <c r="Z10" i="40" s="1"/>
  <c r="Q10" i="40" s="1"/>
  <c r="P10" i="40"/>
  <c r="R10" i="40" s="1"/>
  <c r="U11" i="40"/>
  <c r="X11" i="40" s="1"/>
  <c r="Y11" i="40" s="1"/>
  <c r="Z11" i="40" s="1"/>
  <c r="Q11" i="40" s="1"/>
  <c r="P11" i="40"/>
  <c r="R11" i="40" s="1"/>
  <c r="U12" i="40"/>
  <c r="X12" i="40" s="1"/>
  <c r="Y12" i="40" s="1"/>
  <c r="Z12" i="40" s="1"/>
  <c r="Q12" i="40" s="1"/>
  <c r="P12" i="40"/>
  <c r="R12" i="40" s="1"/>
  <c r="F13" i="40"/>
  <c r="F14" i="40"/>
  <c r="F15" i="40"/>
  <c r="F16" i="40"/>
  <c r="F17" i="40"/>
  <c r="F18" i="40"/>
  <c r="F19" i="40"/>
  <c r="F20" i="40"/>
  <c r="F21" i="40"/>
  <c r="F22" i="40"/>
  <c r="F23" i="40"/>
  <c r="F24" i="40"/>
  <c r="F25" i="40"/>
  <c r="F12" i="40"/>
  <c r="F26" i="40" l="1"/>
  <c r="G12" i="40"/>
  <c r="G13" i="40" s="1"/>
  <c r="G14" i="40" s="1"/>
  <c r="G15" i="40" s="1"/>
  <c r="G16" i="40" s="1"/>
  <c r="G17" i="40" s="1"/>
  <c r="G18" i="40" s="1"/>
  <c r="G19" i="40" s="1"/>
  <c r="G20" i="40" s="1"/>
  <c r="G21" i="40" s="1"/>
  <c r="G22" i="40" s="1"/>
  <c r="G23" i="40" s="1"/>
  <c r="G24" i="40" s="1"/>
  <c r="G25" i="40" l="1"/>
  <c r="S12" i="40"/>
  <c r="S11" i="40"/>
  <c r="S10" i="40"/>
  <c r="S9" i="40"/>
  <c r="S8" i="40"/>
  <c r="S7" i="40"/>
  <c r="S6" i="40"/>
  <c r="S5" i="40"/>
  <c r="S4" i="40"/>
  <c r="F31" i="40"/>
  <c r="T12" i="40" l="1"/>
  <c r="S13" i="40"/>
  <c r="T10" i="40" s="1"/>
  <c r="T8" i="40"/>
  <c r="W31" i="39"/>
  <c r="W30" i="39"/>
  <c r="W27" i="39"/>
  <c r="W24" i="39"/>
  <c r="F36" i="39"/>
  <c r="G33" i="39"/>
  <c r="C27" i="39"/>
  <c r="D25" i="39"/>
  <c r="E25" i="39" s="1"/>
  <c r="D24" i="39"/>
  <c r="E24" i="39" s="1"/>
  <c r="D23" i="39"/>
  <c r="E23" i="39" s="1"/>
  <c r="D22" i="39"/>
  <c r="E22" i="39" s="1"/>
  <c r="D21" i="39"/>
  <c r="E21" i="39" s="1"/>
  <c r="D20" i="39"/>
  <c r="E20" i="39" s="1"/>
  <c r="D19" i="39"/>
  <c r="E19" i="39" s="1"/>
  <c r="D18" i="39"/>
  <c r="E18" i="39" s="1"/>
  <c r="D17" i="39"/>
  <c r="E17" i="39" s="1"/>
  <c r="D16" i="39"/>
  <c r="E16" i="39" s="1"/>
  <c r="E15" i="39"/>
  <c r="E14" i="39"/>
  <c r="E13" i="39"/>
  <c r="W12" i="39"/>
  <c r="V12" i="39"/>
  <c r="M12" i="39"/>
  <c r="I12" i="39"/>
  <c r="E12" i="39"/>
  <c r="W11" i="39"/>
  <c r="V11" i="39"/>
  <c r="M11" i="39"/>
  <c r="I11" i="39"/>
  <c r="E11" i="39"/>
  <c r="W10" i="39"/>
  <c r="V10" i="39"/>
  <c r="M10" i="39"/>
  <c r="I10" i="39"/>
  <c r="W9" i="39"/>
  <c r="V9" i="39"/>
  <c r="M9" i="39"/>
  <c r="I9" i="39"/>
  <c r="W8" i="39"/>
  <c r="V8" i="39"/>
  <c r="M8" i="39"/>
  <c r="I8" i="39"/>
  <c r="W7" i="39"/>
  <c r="V7" i="39"/>
  <c r="M7" i="39"/>
  <c r="I7" i="39"/>
  <c r="W6" i="39"/>
  <c r="V6" i="39"/>
  <c r="M6" i="39"/>
  <c r="I6" i="39"/>
  <c r="AE5" i="39"/>
  <c r="W5" i="39"/>
  <c r="V5" i="39"/>
  <c r="M5" i="39"/>
  <c r="N5" i="39" s="1"/>
  <c r="I5" i="39"/>
  <c r="W4" i="39"/>
  <c r="V4" i="39"/>
  <c r="M4" i="39"/>
  <c r="N4" i="39" s="1"/>
  <c r="I4" i="39"/>
  <c r="N6" i="39" l="1"/>
  <c r="N7" i="39"/>
  <c r="N8" i="39"/>
  <c r="U8" i="39" s="1"/>
  <c r="X8" i="39" s="1"/>
  <c r="Y8" i="39" s="1"/>
  <c r="Z8" i="39" s="1"/>
  <c r="Q8" i="39" s="1"/>
  <c r="N9" i="39"/>
  <c r="N10" i="39"/>
  <c r="E26" i="39"/>
  <c r="E27" i="39" s="1"/>
  <c r="F27" i="39" s="1"/>
  <c r="T7" i="40"/>
  <c r="N11" i="39"/>
  <c r="F33" i="156"/>
  <c r="J33" i="156" s="1"/>
  <c r="V36" i="39"/>
  <c r="T9" i="40"/>
  <c r="T4" i="40"/>
  <c r="T11" i="40"/>
  <c r="N12" i="39"/>
  <c r="T5" i="40"/>
  <c r="T6" i="40"/>
  <c r="W33" i="39"/>
  <c r="X27" i="39"/>
  <c r="W32" i="39"/>
  <c r="U4" i="39"/>
  <c r="X4" i="39" s="1"/>
  <c r="Y4" i="39" s="1"/>
  <c r="Z4" i="39" s="1"/>
  <c r="Q4" i="39" s="1"/>
  <c r="P4" i="39"/>
  <c r="R4" i="39" s="1"/>
  <c r="U5" i="39"/>
  <c r="X5" i="39" s="1"/>
  <c r="Y5" i="39" s="1"/>
  <c r="Z5" i="39" s="1"/>
  <c r="Q5" i="39" s="1"/>
  <c r="P5" i="39"/>
  <c r="R5" i="39" s="1"/>
  <c r="U6" i="39"/>
  <c r="X6" i="39" s="1"/>
  <c r="Y6" i="39" s="1"/>
  <c r="Z6" i="39" s="1"/>
  <c r="Q6" i="39" s="1"/>
  <c r="P6" i="39"/>
  <c r="R6" i="39" s="1"/>
  <c r="U7" i="39"/>
  <c r="X7" i="39" s="1"/>
  <c r="Y7" i="39" s="1"/>
  <c r="Z7" i="39" s="1"/>
  <c r="Q7" i="39" s="1"/>
  <c r="P7" i="39"/>
  <c r="R7" i="39" s="1"/>
  <c r="U9" i="39"/>
  <c r="X9" i="39" s="1"/>
  <c r="Y9" i="39" s="1"/>
  <c r="Z9" i="39" s="1"/>
  <c r="Q9" i="39" s="1"/>
  <c r="P9" i="39"/>
  <c r="R9" i="39" s="1"/>
  <c r="U10" i="39"/>
  <c r="X10" i="39" s="1"/>
  <c r="Y10" i="39" s="1"/>
  <c r="Z10" i="39" s="1"/>
  <c r="Q10" i="39" s="1"/>
  <c r="P10" i="39"/>
  <c r="R10" i="39" s="1"/>
  <c r="U11" i="39"/>
  <c r="X11" i="39" s="1"/>
  <c r="Y11" i="39" s="1"/>
  <c r="Z11" i="39" s="1"/>
  <c r="Q11" i="39" s="1"/>
  <c r="P11" i="39"/>
  <c r="R11" i="39" s="1"/>
  <c r="U12" i="39"/>
  <c r="X12" i="39" s="1"/>
  <c r="Y12" i="39" s="1"/>
  <c r="Z12" i="39" s="1"/>
  <c r="Q12" i="39" s="1"/>
  <c r="P12" i="39"/>
  <c r="R12" i="39" s="1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12" i="39"/>
  <c r="P8" i="39" l="1"/>
  <c r="R8" i="39" s="1"/>
  <c r="F11" i="39"/>
  <c r="F26" i="39"/>
  <c r="G12" i="39"/>
  <c r="G13" i="39" s="1"/>
  <c r="G14" i="39" s="1"/>
  <c r="G15" i="39" s="1"/>
  <c r="G16" i="39" s="1"/>
  <c r="G17" i="39" s="1"/>
  <c r="G18" i="39" s="1"/>
  <c r="G19" i="39" s="1"/>
  <c r="G20" i="39" s="1"/>
  <c r="G21" i="39" s="1"/>
  <c r="G22" i="39" s="1"/>
  <c r="G23" i="39" s="1"/>
  <c r="G24" i="39" s="1"/>
  <c r="G25" i="39" l="1"/>
  <c r="S12" i="39"/>
  <c r="S11" i="39"/>
  <c r="S10" i="39"/>
  <c r="S9" i="39"/>
  <c r="S8" i="39"/>
  <c r="S7" i="39"/>
  <c r="S6" i="39"/>
  <c r="S5" i="39"/>
  <c r="S4" i="39"/>
  <c r="F31" i="39"/>
  <c r="T7" i="39" l="1"/>
  <c r="S13" i="39"/>
  <c r="T10" i="39" s="1"/>
  <c r="T4" i="39"/>
  <c r="F36" i="37"/>
  <c r="C27" i="37"/>
  <c r="W31" i="37"/>
  <c r="E25" i="37"/>
  <c r="W30" i="37"/>
  <c r="E24" i="37"/>
  <c r="E23" i="37"/>
  <c r="E22" i="37"/>
  <c r="W27" i="37"/>
  <c r="E21" i="37"/>
  <c r="E20" i="37"/>
  <c r="E19" i="37"/>
  <c r="W24" i="37"/>
  <c r="F87" i="156" s="1"/>
  <c r="J87" i="156" s="1"/>
  <c r="E18" i="37"/>
  <c r="E17" i="37"/>
  <c r="W22" i="37"/>
  <c r="E16" i="37"/>
  <c r="E15" i="37"/>
  <c r="E14" i="37"/>
  <c r="E13" i="37"/>
  <c r="M12" i="37"/>
  <c r="N12" i="37" s="1"/>
  <c r="P12" i="37" s="1"/>
  <c r="R12" i="37" s="1"/>
  <c r="E12" i="37"/>
  <c r="M11" i="37"/>
  <c r="N11" i="37" s="1"/>
  <c r="P11" i="37" s="1"/>
  <c r="R11" i="37" s="1"/>
  <c r="E11" i="37"/>
  <c r="M10" i="37"/>
  <c r="N10" i="37" s="1"/>
  <c r="P10" i="37" s="1"/>
  <c r="R10" i="37" s="1"/>
  <c r="M9" i="37"/>
  <c r="N9" i="37" s="1"/>
  <c r="P9" i="37" s="1"/>
  <c r="R9" i="37" s="1"/>
  <c r="M8" i="37"/>
  <c r="N8" i="37" s="1"/>
  <c r="P8" i="37" s="1"/>
  <c r="R8" i="37" s="1"/>
  <c r="M7" i="37"/>
  <c r="N7" i="37" s="1"/>
  <c r="P7" i="37" s="1"/>
  <c r="R7" i="37" s="1"/>
  <c r="M6" i="37"/>
  <c r="N6" i="37" s="1"/>
  <c r="P6" i="37" s="1"/>
  <c r="R6" i="37" s="1"/>
  <c r="M5" i="37"/>
  <c r="N5" i="37" s="1"/>
  <c r="P5" i="37" s="1"/>
  <c r="R5" i="37" s="1"/>
  <c r="M4" i="37"/>
  <c r="N4" i="37" s="1"/>
  <c r="P4" i="37" s="1"/>
  <c r="R4" i="37" s="1"/>
  <c r="E26" i="37" l="1"/>
  <c r="E27" i="37" s="1"/>
  <c r="F27" i="37" s="1"/>
  <c r="T6" i="39"/>
  <c r="F11" i="37"/>
  <c r="T9" i="39"/>
  <c r="T12" i="39"/>
  <c r="T11" i="39"/>
  <c r="T5" i="39"/>
  <c r="T8" i="39"/>
  <c r="V36" i="37"/>
  <c r="W33" i="37"/>
  <c r="F13" i="37"/>
  <c r="F14" i="37"/>
  <c r="F15" i="37"/>
  <c r="I39" i="37" s="1"/>
  <c r="F16" i="37"/>
  <c r="I40" i="37" s="1"/>
  <c r="F17" i="37"/>
  <c r="I41" i="37" s="1"/>
  <c r="F18" i="37"/>
  <c r="I42" i="37" s="1"/>
  <c r="F19" i="37"/>
  <c r="I43" i="37" s="1"/>
  <c r="F20" i="37"/>
  <c r="I44" i="37" s="1"/>
  <c r="F21" i="37"/>
  <c r="I45" i="37" s="1"/>
  <c r="F22" i="37"/>
  <c r="I46" i="37" s="1"/>
  <c r="F23" i="37"/>
  <c r="I47" i="37" s="1"/>
  <c r="F24" i="37"/>
  <c r="I48" i="37" s="1"/>
  <c r="F25" i="37"/>
  <c r="I49" i="37" s="1"/>
  <c r="F12" i="37"/>
  <c r="X27" i="37"/>
  <c r="W32" i="37"/>
  <c r="I38" i="37" l="1"/>
  <c r="I50" i="37" s="1"/>
  <c r="I51" i="37" s="1"/>
  <c r="F26" i="37"/>
  <c r="G12" i="37"/>
  <c r="G13" i="37" s="1"/>
  <c r="G14" i="37" s="1"/>
  <c r="G15" i="37" s="1"/>
  <c r="G16" i="37" s="1"/>
  <c r="G17" i="37" s="1"/>
  <c r="G18" i="37" s="1"/>
  <c r="G19" i="37" s="1"/>
  <c r="G20" i="37" s="1"/>
  <c r="G21" i="37" s="1"/>
  <c r="G22" i="37" s="1"/>
  <c r="G23" i="37" s="1"/>
  <c r="G24" i="37" s="1"/>
  <c r="G25" i="37" l="1"/>
  <c r="S12" i="37"/>
  <c r="S11" i="37"/>
  <c r="S10" i="37"/>
  <c r="S9" i="37"/>
  <c r="S8" i="37"/>
  <c r="S7" i="37"/>
  <c r="S6" i="37"/>
  <c r="S5" i="37"/>
  <c r="S4" i="37"/>
  <c r="F31" i="37"/>
  <c r="W31" i="35" l="1"/>
  <c r="W30" i="35"/>
  <c r="W27" i="35"/>
  <c r="W22" i="35"/>
  <c r="F36" i="35"/>
  <c r="C27" i="35"/>
  <c r="E25" i="35"/>
  <c r="E24" i="35"/>
  <c r="E23" i="35"/>
  <c r="E22" i="35"/>
  <c r="E21" i="35"/>
  <c r="E20" i="35"/>
  <c r="E19" i="35"/>
  <c r="E18" i="35"/>
  <c r="E17" i="35"/>
  <c r="E16" i="35"/>
  <c r="E15" i="35"/>
  <c r="E14" i="35"/>
  <c r="E13" i="35"/>
  <c r="M12" i="35"/>
  <c r="N12" i="35" s="1"/>
  <c r="P12" i="35" s="1"/>
  <c r="R12" i="35" s="1"/>
  <c r="E12" i="35"/>
  <c r="M11" i="35"/>
  <c r="N11" i="35" s="1"/>
  <c r="P11" i="35" s="1"/>
  <c r="R11" i="35" s="1"/>
  <c r="E11" i="35"/>
  <c r="M10" i="35"/>
  <c r="N10" i="35" s="1"/>
  <c r="P10" i="35" s="1"/>
  <c r="R10" i="35" s="1"/>
  <c r="M9" i="35"/>
  <c r="N9" i="35" s="1"/>
  <c r="P9" i="35" s="1"/>
  <c r="R9" i="35" s="1"/>
  <c r="M8" i="35"/>
  <c r="N8" i="35" s="1"/>
  <c r="P8" i="35" s="1"/>
  <c r="R8" i="35" s="1"/>
  <c r="M7" i="35"/>
  <c r="N7" i="35" s="1"/>
  <c r="P7" i="35" s="1"/>
  <c r="R7" i="35" s="1"/>
  <c r="M6" i="35"/>
  <c r="N6" i="35" s="1"/>
  <c r="P6" i="35" s="1"/>
  <c r="R6" i="35" s="1"/>
  <c r="M5" i="35"/>
  <c r="N5" i="35" s="1"/>
  <c r="P5" i="35" s="1"/>
  <c r="R5" i="35" s="1"/>
  <c r="M4" i="35"/>
  <c r="N4" i="35" s="1"/>
  <c r="P4" i="35" s="1"/>
  <c r="R4" i="35" s="1"/>
  <c r="E26" i="35" l="1"/>
  <c r="E27" i="35" s="1"/>
  <c r="F27" i="35" s="1"/>
  <c r="W33" i="35"/>
  <c r="X27" i="35"/>
  <c r="W3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12" i="35"/>
  <c r="F11" i="35" l="1"/>
  <c r="F26" i="35"/>
  <c r="G12" i="35"/>
  <c r="G13" i="35" s="1"/>
  <c r="G14" i="35" s="1"/>
  <c r="G15" i="35" s="1"/>
  <c r="G16" i="35" s="1"/>
  <c r="G17" i="35" s="1"/>
  <c r="G18" i="35" s="1"/>
  <c r="G19" i="35" s="1"/>
  <c r="G20" i="35" s="1"/>
  <c r="G21" i="35" s="1"/>
  <c r="G22" i="35" s="1"/>
  <c r="G23" i="35" s="1"/>
  <c r="G24" i="35" s="1"/>
  <c r="G25" i="35" l="1"/>
  <c r="S12" i="35"/>
  <c r="S11" i="35"/>
  <c r="S10" i="35"/>
  <c r="S9" i="35"/>
  <c r="S8" i="35"/>
  <c r="S7" i="35"/>
  <c r="S6" i="35"/>
  <c r="S5" i="35"/>
  <c r="S4" i="35"/>
  <c r="F31" i="35"/>
  <c r="W31" i="32" l="1"/>
  <c r="W30" i="32"/>
  <c r="W27" i="32"/>
  <c r="W24" i="32"/>
  <c r="F119" i="156" s="1"/>
  <c r="J119" i="156" s="1"/>
  <c r="W22" i="32"/>
  <c r="W33" i="32" s="1"/>
  <c r="M4" i="32"/>
  <c r="N4" i="32" s="1"/>
  <c r="P4" i="32" s="1"/>
  <c r="M5" i="32"/>
  <c r="N5" i="32" s="1"/>
  <c r="P5" i="32" s="1"/>
  <c r="M6" i="32"/>
  <c r="N6" i="32"/>
  <c r="P6" i="32" s="1"/>
  <c r="M7" i="32"/>
  <c r="N7" i="32"/>
  <c r="P7" i="32"/>
  <c r="M8" i="32"/>
  <c r="N8" i="32" s="1"/>
  <c r="P8" i="32" s="1"/>
  <c r="M9" i="32"/>
  <c r="N9" i="32" s="1"/>
  <c r="P9" i="32" s="1"/>
  <c r="M10" i="32"/>
  <c r="N10" i="32"/>
  <c r="P10" i="32" s="1"/>
  <c r="E11" i="32"/>
  <c r="M11" i="32"/>
  <c r="N11" i="32"/>
  <c r="P11" i="32" s="1"/>
  <c r="E12" i="32"/>
  <c r="M12" i="32"/>
  <c r="N12" i="32"/>
  <c r="P12" i="32" s="1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C27" i="32"/>
  <c r="F36" i="32"/>
  <c r="R4" i="32" l="1"/>
  <c r="E26" i="32"/>
  <c r="E27" i="32" s="1"/>
  <c r="F27" i="32" s="1"/>
  <c r="F11" i="32"/>
  <c r="V36" i="32"/>
  <c r="X27" i="32"/>
  <c r="W32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R12" i="32"/>
  <c r="F12" i="32"/>
  <c r="R11" i="32"/>
  <c r="R10" i="32"/>
  <c r="R9" i="32"/>
  <c r="R8" i="32"/>
  <c r="R7" i="32"/>
  <c r="R6" i="32"/>
  <c r="R5" i="32"/>
  <c r="W31" i="31"/>
  <c r="W30" i="31"/>
  <c r="W27" i="31"/>
  <c r="W24" i="31"/>
  <c r="W22" i="31"/>
  <c r="W33" i="31" s="1"/>
  <c r="F36" i="31"/>
  <c r="C27" i="31"/>
  <c r="E25" i="31"/>
  <c r="E24" i="31"/>
  <c r="E23" i="31"/>
  <c r="E22" i="31"/>
  <c r="E21" i="31"/>
  <c r="E20" i="31"/>
  <c r="E19" i="31"/>
  <c r="E18" i="31"/>
  <c r="E17" i="31"/>
  <c r="E16" i="31"/>
  <c r="E15" i="31"/>
  <c r="E14" i="31"/>
  <c r="E13" i="31"/>
  <c r="M12" i="31"/>
  <c r="N12" i="31" s="1"/>
  <c r="P12" i="31" s="1"/>
  <c r="E12" i="31"/>
  <c r="E26" i="31" s="1"/>
  <c r="E27" i="31" s="1"/>
  <c r="F27" i="31" s="1"/>
  <c r="M11" i="31"/>
  <c r="N11" i="31" s="1"/>
  <c r="P11" i="31" s="1"/>
  <c r="E11" i="31"/>
  <c r="M10" i="31"/>
  <c r="N10" i="31" s="1"/>
  <c r="P10" i="31" s="1"/>
  <c r="M9" i="31"/>
  <c r="N9" i="31" s="1"/>
  <c r="P9" i="31" s="1"/>
  <c r="R9" i="31" s="1"/>
  <c r="M8" i="31"/>
  <c r="N8" i="31" s="1"/>
  <c r="P8" i="31" s="1"/>
  <c r="M7" i="31"/>
  <c r="N7" i="31" s="1"/>
  <c r="P7" i="31" s="1"/>
  <c r="M6" i="31"/>
  <c r="N6" i="31" s="1"/>
  <c r="P6" i="31" s="1"/>
  <c r="M5" i="31"/>
  <c r="N5" i="31" s="1"/>
  <c r="P5" i="31" s="1"/>
  <c r="R5" i="31" s="1"/>
  <c r="M4" i="31"/>
  <c r="N4" i="31" s="1"/>
  <c r="P4" i="31" s="1"/>
  <c r="R6" i="31" l="1"/>
  <c r="R10" i="31"/>
  <c r="R7" i="31"/>
  <c r="F11" i="31"/>
  <c r="F118" i="156"/>
  <c r="J118" i="156" s="1"/>
  <c r="R12" i="31"/>
  <c r="R4" i="31"/>
  <c r="R8" i="31"/>
  <c r="R11" i="31"/>
  <c r="V36" i="31"/>
  <c r="G12" i="32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F26" i="32"/>
  <c r="X27" i="31"/>
  <c r="W3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12" i="31"/>
  <c r="S4" i="32" l="1"/>
  <c r="S5" i="32"/>
  <c r="S6" i="32"/>
  <c r="S7" i="32"/>
  <c r="S8" i="32"/>
  <c r="S9" i="32"/>
  <c r="S10" i="32"/>
  <c r="S11" i="32"/>
  <c r="S12" i="32"/>
  <c r="G25" i="32"/>
  <c r="F31" i="32"/>
  <c r="F26" i="31"/>
  <c r="G12" i="31"/>
  <c r="G13" i="31" s="1"/>
  <c r="G14" i="31" s="1"/>
  <c r="G15" i="31" s="1"/>
  <c r="G16" i="31" s="1"/>
  <c r="G17" i="31" s="1"/>
  <c r="G18" i="31" s="1"/>
  <c r="G19" i="31" s="1"/>
  <c r="G20" i="31" s="1"/>
  <c r="G21" i="31" s="1"/>
  <c r="G22" i="31" s="1"/>
  <c r="G23" i="31" s="1"/>
  <c r="G24" i="31" s="1"/>
  <c r="G25" i="31" l="1"/>
  <c r="S12" i="31"/>
  <c r="S11" i="31"/>
  <c r="S10" i="31"/>
  <c r="S9" i="31"/>
  <c r="S8" i="31"/>
  <c r="S7" i="31"/>
  <c r="S6" i="31"/>
  <c r="S5" i="31"/>
  <c r="S4" i="31"/>
  <c r="F31" i="31"/>
  <c r="W31" i="30" l="1"/>
  <c r="W30" i="30"/>
  <c r="W27" i="30"/>
  <c r="W24" i="30"/>
  <c r="W22" i="30"/>
  <c r="W33" i="30" s="1"/>
  <c r="F36" i="30"/>
  <c r="C27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M12" i="30"/>
  <c r="N12" i="30" s="1"/>
  <c r="P12" i="30" s="1"/>
  <c r="R12" i="30" s="1"/>
  <c r="E12" i="30"/>
  <c r="M11" i="30"/>
  <c r="N11" i="30" s="1"/>
  <c r="P11" i="30" s="1"/>
  <c r="R11" i="30" s="1"/>
  <c r="E11" i="30"/>
  <c r="M10" i="30"/>
  <c r="N10" i="30" s="1"/>
  <c r="P10" i="30" s="1"/>
  <c r="R10" i="30" s="1"/>
  <c r="M9" i="30"/>
  <c r="N9" i="30" s="1"/>
  <c r="P9" i="30" s="1"/>
  <c r="R9" i="30" s="1"/>
  <c r="M8" i="30"/>
  <c r="N8" i="30" s="1"/>
  <c r="P8" i="30" s="1"/>
  <c r="R8" i="30" s="1"/>
  <c r="M7" i="30"/>
  <c r="N7" i="30" s="1"/>
  <c r="P7" i="30" s="1"/>
  <c r="R7" i="30" s="1"/>
  <c r="M6" i="30"/>
  <c r="N6" i="30" s="1"/>
  <c r="P6" i="30" s="1"/>
  <c r="R6" i="30" s="1"/>
  <c r="M5" i="30"/>
  <c r="N5" i="30" s="1"/>
  <c r="P5" i="30" s="1"/>
  <c r="R5" i="30" s="1"/>
  <c r="M4" i="30"/>
  <c r="N4" i="30" s="1"/>
  <c r="P4" i="30" s="1"/>
  <c r="R4" i="30" s="1"/>
  <c r="E26" i="30" l="1"/>
  <c r="E27" i="30" s="1"/>
  <c r="F27" i="30" s="1"/>
  <c r="F11" i="30"/>
  <c r="F115" i="156"/>
  <c r="J115" i="156" s="1"/>
  <c r="V36" i="30"/>
  <c r="X27" i="30"/>
  <c r="W3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12" i="30"/>
  <c r="F26" i="30" l="1"/>
  <c r="G12" i="30"/>
  <c r="G13" i="30" s="1"/>
  <c r="G14" i="30" s="1"/>
  <c r="G15" i="30" s="1"/>
  <c r="G16" i="30" s="1"/>
  <c r="G17" i="30" s="1"/>
  <c r="G18" i="30" s="1"/>
  <c r="G19" i="30" s="1"/>
  <c r="G20" i="30" s="1"/>
  <c r="G21" i="30" s="1"/>
  <c r="G22" i="30" s="1"/>
  <c r="G23" i="30" s="1"/>
  <c r="G24" i="30" s="1"/>
  <c r="G25" i="30" l="1"/>
  <c r="S12" i="30"/>
  <c r="S11" i="30"/>
  <c r="S10" i="30"/>
  <c r="S9" i="30"/>
  <c r="S8" i="30"/>
  <c r="S7" i="30"/>
  <c r="S6" i="30"/>
  <c r="S5" i="30"/>
  <c r="S4" i="30"/>
  <c r="F31" i="30"/>
  <c r="W31" i="28" l="1"/>
  <c r="W30" i="28"/>
  <c r="W27" i="28"/>
  <c r="W24" i="28"/>
  <c r="W22" i="28"/>
  <c r="W33" i="28" s="1"/>
  <c r="F36" i="28"/>
  <c r="C27" i="28"/>
  <c r="E25" i="28"/>
  <c r="E24" i="28"/>
  <c r="E23" i="28"/>
  <c r="E22" i="28"/>
  <c r="E21" i="28"/>
  <c r="E20" i="28"/>
  <c r="E19" i="28"/>
  <c r="E18" i="28"/>
  <c r="E17" i="28"/>
  <c r="E16" i="28"/>
  <c r="E15" i="28"/>
  <c r="E14" i="28"/>
  <c r="E13" i="28"/>
  <c r="M12" i="28"/>
  <c r="N12" i="28" s="1"/>
  <c r="P12" i="28" s="1"/>
  <c r="R12" i="28" s="1"/>
  <c r="E12" i="28"/>
  <c r="M11" i="28"/>
  <c r="N11" i="28" s="1"/>
  <c r="P11" i="28" s="1"/>
  <c r="R11" i="28" s="1"/>
  <c r="E11" i="28"/>
  <c r="M10" i="28"/>
  <c r="N10" i="28" s="1"/>
  <c r="P10" i="28" s="1"/>
  <c r="R10" i="28" s="1"/>
  <c r="M9" i="28"/>
  <c r="N9" i="28" s="1"/>
  <c r="P9" i="28" s="1"/>
  <c r="R9" i="28" s="1"/>
  <c r="M8" i="28"/>
  <c r="N8" i="28" s="1"/>
  <c r="P8" i="28" s="1"/>
  <c r="R8" i="28" s="1"/>
  <c r="M7" i="28"/>
  <c r="N7" i="28" s="1"/>
  <c r="P7" i="28" s="1"/>
  <c r="R7" i="28" s="1"/>
  <c r="M6" i="28"/>
  <c r="N6" i="28" s="1"/>
  <c r="P6" i="28" s="1"/>
  <c r="R6" i="28" s="1"/>
  <c r="M5" i="28"/>
  <c r="N5" i="28" s="1"/>
  <c r="P5" i="28" s="1"/>
  <c r="R5" i="28" s="1"/>
  <c r="M4" i="28"/>
  <c r="N4" i="28" s="1"/>
  <c r="P4" i="28" s="1"/>
  <c r="R4" i="28" s="1"/>
  <c r="E26" i="28" l="1"/>
  <c r="E27" i="28" s="1"/>
  <c r="F27" i="28" s="1"/>
  <c r="V36" i="28"/>
  <c r="F108" i="156"/>
  <c r="J108" i="156" s="1"/>
  <c r="X27" i="28"/>
  <c r="W32" i="28"/>
  <c r="F14" i="28"/>
  <c r="F15" i="28"/>
  <c r="F16" i="28"/>
  <c r="F18" i="28"/>
  <c r="F19" i="28"/>
  <c r="F20" i="28"/>
  <c r="F22" i="28"/>
  <c r="F23" i="28"/>
  <c r="F24" i="28"/>
  <c r="F25" i="28"/>
  <c r="F12" i="28"/>
  <c r="F21" i="28" l="1"/>
  <c r="F17" i="28"/>
  <c r="F13" i="28"/>
  <c r="F26" i="28" s="1"/>
  <c r="F11" i="28"/>
  <c r="G12" i="28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l="1"/>
  <c r="S12" i="28"/>
  <c r="S11" i="28"/>
  <c r="S10" i="28"/>
  <c r="S9" i="28"/>
  <c r="S8" i="28"/>
  <c r="S7" i="28"/>
  <c r="S6" i="28"/>
  <c r="S5" i="28"/>
  <c r="S4" i="28"/>
  <c r="F31" i="28"/>
  <c r="W31" i="27" l="1"/>
  <c r="W30" i="27"/>
  <c r="W27" i="27"/>
  <c r="W24" i="27"/>
  <c r="W22" i="27"/>
  <c r="F36" i="27"/>
  <c r="C27" i="27"/>
  <c r="E25" i="27"/>
  <c r="E24" i="27"/>
  <c r="E23" i="27"/>
  <c r="E22" i="27"/>
  <c r="E21" i="27"/>
  <c r="E20" i="27"/>
  <c r="E19" i="27"/>
  <c r="E18" i="27"/>
  <c r="E17" i="27"/>
  <c r="E16" i="27"/>
  <c r="E15" i="27"/>
  <c r="E14" i="27"/>
  <c r="E13" i="27"/>
  <c r="M12" i="27"/>
  <c r="N12" i="27" s="1"/>
  <c r="P12" i="27" s="1"/>
  <c r="R12" i="27" s="1"/>
  <c r="E12" i="27"/>
  <c r="M11" i="27"/>
  <c r="N11" i="27" s="1"/>
  <c r="P11" i="27" s="1"/>
  <c r="R11" i="27" s="1"/>
  <c r="E11" i="27"/>
  <c r="M10" i="27"/>
  <c r="N10" i="27" s="1"/>
  <c r="P10" i="27" s="1"/>
  <c r="R10" i="27" s="1"/>
  <c r="M9" i="27"/>
  <c r="N9" i="27" s="1"/>
  <c r="P9" i="27" s="1"/>
  <c r="R9" i="27" s="1"/>
  <c r="M8" i="27"/>
  <c r="N8" i="27" s="1"/>
  <c r="P8" i="27" s="1"/>
  <c r="R8" i="27" s="1"/>
  <c r="M7" i="27"/>
  <c r="N7" i="27" s="1"/>
  <c r="P7" i="27" s="1"/>
  <c r="R7" i="27" s="1"/>
  <c r="M6" i="27"/>
  <c r="N6" i="27" s="1"/>
  <c r="P6" i="27" s="1"/>
  <c r="R6" i="27" s="1"/>
  <c r="M5" i="27"/>
  <c r="N5" i="27" s="1"/>
  <c r="P5" i="27" s="1"/>
  <c r="R5" i="27" s="1"/>
  <c r="M4" i="27"/>
  <c r="N4" i="27" s="1"/>
  <c r="P4" i="27" s="1"/>
  <c r="R4" i="27" s="1"/>
  <c r="F106" i="156" l="1"/>
  <c r="J106" i="156" s="1"/>
  <c r="E26" i="27"/>
  <c r="E27" i="27" s="1"/>
  <c r="F27" i="27" s="1"/>
  <c r="W33" i="27"/>
  <c r="V36" i="27"/>
  <c r="X27" i="27"/>
  <c r="W3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12" i="27"/>
  <c r="F11" i="27" l="1"/>
  <c r="F26" i="27"/>
  <c r="G12" i="27"/>
  <c r="G13" i="27" s="1"/>
  <c r="G14" i="27" s="1"/>
  <c r="G15" i="27" s="1"/>
  <c r="G16" i="27" s="1"/>
  <c r="G17" i="27" s="1"/>
  <c r="G18" i="27" s="1"/>
  <c r="G19" i="27" s="1"/>
  <c r="G20" i="27" s="1"/>
  <c r="G21" i="27" s="1"/>
  <c r="G22" i="27" s="1"/>
  <c r="G23" i="27" s="1"/>
  <c r="G24" i="27" s="1"/>
  <c r="G25" i="27" l="1"/>
  <c r="S12" i="27"/>
  <c r="S11" i="27"/>
  <c r="S10" i="27"/>
  <c r="S9" i="27"/>
  <c r="S8" i="27"/>
  <c r="S7" i="27"/>
  <c r="S6" i="27"/>
  <c r="S5" i="27"/>
  <c r="S4" i="27"/>
  <c r="F31" i="27"/>
  <c r="W31" i="26" l="1"/>
  <c r="W30" i="26"/>
  <c r="W27" i="26"/>
  <c r="W24" i="26"/>
  <c r="W22" i="26"/>
  <c r="F36" i="26"/>
  <c r="C27" i="26"/>
  <c r="E25" i="26"/>
  <c r="E24" i="26"/>
  <c r="E23" i="26"/>
  <c r="E22" i="26"/>
  <c r="E21" i="26"/>
  <c r="E20" i="26"/>
  <c r="E19" i="26"/>
  <c r="E18" i="26"/>
  <c r="E17" i="26"/>
  <c r="E16" i="26"/>
  <c r="E15" i="26"/>
  <c r="E14" i="26"/>
  <c r="E13" i="26"/>
  <c r="M12" i="26"/>
  <c r="N12" i="26" s="1"/>
  <c r="P12" i="26" s="1"/>
  <c r="R12" i="26" s="1"/>
  <c r="E12" i="26"/>
  <c r="M11" i="26"/>
  <c r="N11" i="26" s="1"/>
  <c r="P11" i="26" s="1"/>
  <c r="R11" i="26" s="1"/>
  <c r="E11" i="26"/>
  <c r="M10" i="26"/>
  <c r="N10" i="26" s="1"/>
  <c r="P10" i="26" s="1"/>
  <c r="R10" i="26" s="1"/>
  <c r="M9" i="26"/>
  <c r="N9" i="26" s="1"/>
  <c r="P9" i="26" s="1"/>
  <c r="R9" i="26" s="1"/>
  <c r="M8" i="26"/>
  <c r="N8" i="26" s="1"/>
  <c r="P8" i="26" s="1"/>
  <c r="R8" i="26" s="1"/>
  <c r="M7" i="26"/>
  <c r="N7" i="26" s="1"/>
  <c r="P7" i="26" s="1"/>
  <c r="R7" i="26" s="1"/>
  <c r="M6" i="26"/>
  <c r="N6" i="26" s="1"/>
  <c r="P6" i="26" s="1"/>
  <c r="R6" i="26" s="1"/>
  <c r="M5" i="26"/>
  <c r="N5" i="26" s="1"/>
  <c r="P5" i="26" s="1"/>
  <c r="R5" i="26" s="1"/>
  <c r="M4" i="26"/>
  <c r="N4" i="26" s="1"/>
  <c r="P4" i="26" s="1"/>
  <c r="R4" i="26" s="1"/>
  <c r="F102" i="156" l="1"/>
  <c r="J102" i="156" s="1"/>
  <c r="E26" i="26"/>
  <c r="E27" i="26" s="1"/>
  <c r="F27" i="26" s="1"/>
  <c r="F11" i="26"/>
  <c r="V36" i="26"/>
  <c r="W33" i="26"/>
  <c r="X27" i="26"/>
  <c r="W32" i="26"/>
  <c r="F13" i="26"/>
  <c r="F14" i="26"/>
  <c r="F17" i="26"/>
  <c r="F18" i="26"/>
  <c r="F21" i="26"/>
  <c r="F22" i="26"/>
  <c r="F25" i="26"/>
  <c r="F12" i="26"/>
  <c r="F20" i="26" l="1"/>
  <c r="F16" i="26"/>
  <c r="F24" i="26"/>
  <c r="F23" i="26"/>
  <c r="F26" i="26" s="1"/>
  <c r="F19" i="26"/>
  <c r="F15" i="26"/>
  <c r="G12" i="26"/>
  <c r="G13" i="26" s="1"/>
  <c r="G14" i="26" s="1"/>
  <c r="G15" i="26" s="1"/>
  <c r="G16" i="26" s="1"/>
  <c r="G17" i="26" s="1"/>
  <c r="G18" i="26" s="1"/>
  <c r="G19" i="26" s="1"/>
  <c r="G20" i="26" s="1"/>
  <c r="G21" i="26" s="1"/>
  <c r="G22" i="26" s="1"/>
  <c r="G23" i="26" s="1"/>
  <c r="G24" i="26" s="1"/>
  <c r="G25" i="26" l="1"/>
  <c r="S12" i="26"/>
  <c r="S11" i="26"/>
  <c r="S10" i="26"/>
  <c r="S9" i="26"/>
  <c r="S8" i="26"/>
  <c r="S7" i="26"/>
  <c r="S6" i="26"/>
  <c r="S5" i="26"/>
  <c r="S4" i="26"/>
  <c r="F31" i="26"/>
  <c r="W31" i="25" l="1"/>
  <c r="W30" i="25"/>
  <c r="W27" i="25"/>
  <c r="W24" i="25"/>
  <c r="W22" i="25"/>
  <c r="F36" i="25"/>
  <c r="C27" i="25"/>
  <c r="E25" i="25"/>
  <c r="E24" i="25"/>
  <c r="E23" i="25"/>
  <c r="E22" i="25"/>
  <c r="E21" i="25"/>
  <c r="E20" i="25"/>
  <c r="E19" i="25"/>
  <c r="E18" i="25"/>
  <c r="E17" i="25"/>
  <c r="E16" i="25"/>
  <c r="E15" i="25"/>
  <c r="E14" i="25"/>
  <c r="E13" i="25"/>
  <c r="M12" i="25"/>
  <c r="N12" i="25" s="1"/>
  <c r="P12" i="25" s="1"/>
  <c r="R12" i="25" s="1"/>
  <c r="E12" i="25"/>
  <c r="M11" i="25"/>
  <c r="N11" i="25" s="1"/>
  <c r="P11" i="25" s="1"/>
  <c r="R11" i="25" s="1"/>
  <c r="E11" i="25"/>
  <c r="M10" i="25"/>
  <c r="N10" i="25" s="1"/>
  <c r="P10" i="25" s="1"/>
  <c r="R10" i="25" s="1"/>
  <c r="M9" i="25"/>
  <c r="N9" i="25" s="1"/>
  <c r="P9" i="25" s="1"/>
  <c r="R9" i="25" s="1"/>
  <c r="M8" i="25"/>
  <c r="N8" i="25" s="1"/>
  <c r="P8" i="25" s="1"/>
  <c r="R8" i="25" s="1"/>
  <c r="M7" i="25"/>
  <c r="N7" i="25" s="1"/>
  <c r="P7" i="25" s="1"/>
  <c r="R7" i="25" s="1"/>
  <c r="M6" i="25"/>
  <c r="N6" i="25" s="1"/>
  <c r="P6" i="25" s="1"/>
  <c r="R6" i="25" s="1"/>
  <c r="M5" i="25"/>
  <c r="N5" i="25" s="1"/>
  <c r="P5" i="25" s="1"/>
  <c r="R5" i="25" s="1"/>
  <c r="M4" i="25"/>
  <c r="N4" i="25" s="1"/>
  <c r="P4" i="25" s="1"/>
  <c r="R4" i="25" s="1"/>
  <c r="E26" i="25" l="1"/>
  <c r="E27" i="25" s="1"/>
  <c r="F27" i="25" s="1"/>
  <c r="F101" i="156"/>
  <c r="J101" i="156" s="1"/>
  <c r="V36" i="25"/>
  <c r="W33" i="25"/>
  <c r="X27" i="25"/>
  <c r="W3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12" i="25"/>
  <c r="F11" i="25" l="1"/>
  <c r="F26" i="25"/>
  <c r="G12" i="25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l="1"/>
  <c r="S12" i="25"/>
  <c r="S11" i="25"/>
  <c r="S10" i="25"/>
  <c r="S9" i="25"/>
  <c r="S8" i="25"/>
  <c r="S7" i="25"/>
  <c r="S6" i="25"/>
  <c r="S5" i="25"/>
  <c r="S4" i="25"/>
  <c r="F31" i="25"/>
  <c r="W31" i="24" l="1"/>
  <c r="W30" i="24"/>
  <c r="W27" i="24"/>
  <c r="W24" i="24"/>
  <c r="W22" i="24"/>
  <c r="F36" i="24"/>
  <c r="C27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M12" i="24"/>
  <c r="N12" i="24" s="1"/>
  <c r="P12" i="24" s="1"/>
  <c r="R12" i="24" s="1"/>
  <c r="E12" i="24"/>
  <c r="M11" i="24"/>
  <c r="N11" i="24" s="1"/>
  <c r="P11" i="24" s="1"/>
  <c r="R11" i="24" s="1"/>
  <c r="E11" i="24"/>
  <c r="M10" i="24"/>
  <c r="N10" i="24" s="1"/>
  <c r="P10" i="24" s="1"/>
  <c r="R10" i="24" s="1"/>
  <c r="M9" i="24"/>
  <c r="N9" i="24" s="1"/>
  <c r="P9" i="24" s="1"/>
  <c r="R9" i="24" s="1"/>
  <c r="M8" i="24"/>
  <c r="N8" i="24" s="1"/>
  <c r="P8" i="24" s="1"/>
  <c r="R8" i="24" s="1"/>
  <c r="M7" i="24"/>
  <c r="N7" i="24" s="1"/>
  <c r="P7" i="24" s="1"/>
  <c r="R7" i="24" s="1"/>
  <c r="M6" i="24"/>
  <c r="N6" i="24" s="1"/>
  <c r="P6" i="24" s="1"/>
  <c r="R6" i="24" s="1"/>
  <c r="M5" i="24"/>
  <c r="N5" i="24" s="1"/>
  <c r="P5" i="24" s="1"/>
  <c r="R5" i="24" s="1"/>
  <c r="M4" i="24"/>
  <c r="N4" i="24" s="1"/>
  <c r="P4" i="24" s="1"/>
  <c r="R4" i="24" s="1"/>
  <c r="F97" i="156" l="1"/>
  <c r="J97" i="156" s="1"/>
  <c r="E26" i="24"/>
  <c r="E27" i="24" s="1"/>
  <c r="F27" i="24" s="1"/>
  <c r="V36" i="24"/>
  <c r="W33" i="24"/>
  <c r="X27" i="24"/>
  <c r="W32" i="24"/>
  <c r="F14" i="24"/>
  <c r="F18" i="24"/>
  <c r="F22" i="24"/>
  <c r="F12" i="24"/>
  <c r="F25" i="24" l="1"/>
  <c r="F21" i="24"/>
  <c r="F17" i="24"/>
  <c r="F13" i="24"/>
  <c r="F24" i="24"/>
  <c r="F20" i="24"/>
  <c r="F16" i="24"/>
  <c r="F23" i="24"/>
  <c r="F19" i="24"/>
  <c r="F15" i="24"/>
  <c r="F11" i="24"/>
  <c r="F26" i="24"/>
  <c r="G12" i="24"/>
  <c r="G13" i="24" l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/>
  <c r="S12" i="24"/>
  <c r="S11" i="24"/>
  <c r="S10" i="24"/>
  <c r="S9" i="24"/>
  <c r="S8" i="24"/>
  <c r="S7" i="24"/>
  <c r="S6" i="24"/>
  <c r="S5" i="24"/>
  <c r="S4" i="24"/>
  <c r="F31" i="24"/>
  <c r="W31" i="23" l="1"/>
  <c r="W30" i="23"/>
  <c r="W27" i="23"/>
  <c r="W24" i="23"/>
  <c r="W22" i="23"/>
  <c r="F36" i="23"/>
  <c r="C27" i="23"/>
  <c r="E25" i="23"/>
  <c r="E24" i="23"/>
  <c r="E23" i="23"/>
  <c r="E22" i="23"/>
  <c r="E21" i="23"/>
  <c r="E20" i="23"/>
  <c r="E19" i="23"/>
  <c r="E18" i="23"/>
  <c r="E17" i="23"/>
  <c r="E16" i="23"/>
  <c r="E15" i="23"/>
  <c r="E14" i="23"/>
  <c r="E13" i="23"/>
  <c r="M12" i="23"/>
  <c r="N12" i="23" s="1"/>
  <c r="P12" i="23" s="1"/>
  <c r="E12" i="23"/>
  <c r="M11" i="23"/>
  <c r="N11" i="23" s="1"/>
  <c r="P11" i="23" s="1"/>
  <c r="R11" i="23" s="1"/>
  <c r="E11" i="23"/>
  <c r="M10" i="23"/>
  <c r="N10" i="23" s="1"/>
  <c r="P10" i="23" s="1"/>
  <c r="M9" i="23"/>
  <c r="N9" i="23" s="1"/>
  <c r="P9" i="23" s="1"/>
  <c r="R9" i="23" s="1"/>
  <c r="M8" i="23"/>
  <c r="N8" i="23" s="1"/>
  <c r="P8" i="23" s="1"/>
  <c r="R8" i="23" s="1"/>
  <c r="M7" i="23"/>
  <c r="N7" i="23" s="1"/>
  <c r="P7" i="23" s="1"/>
  <c r="R7" i="23" s="1"/>
  <c r="M6" i="23"/>
  <c r="N6" i="23" s="1"/>
  <c r="P6" i="23" s="1"/>
  <c r="M5" i="23"/>
  <c r="N5" i="23" s="1"/>
  <c r="P5" i="23" s="1"/>
  <c r="R5" i="23" s="1"/>
  <c r="M4" i="23"/>
  <c r="N4" i="23" s="1"/>
  <c r="P4" i="23" s="1"/>
  <c r="R4" i="23" s="1"/>
  <c r="F96" i="156" l="1"/>
  <c r="J96" i="156" s="1"/>
  <c r="E26" i="23"/>
  <c r="E27" i="23" s="1"/>
  <c r="F27" i="23" s="1"/>
  <c r="R6" i="23"/>
  <c r="R10" i="23"/>
  <c r="R12" i="23"/>
  <c r="V36" i="23"/>
  <c r="W33" i="23"/>
  <c r="X27" i="23"/>
  <c r="W3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12" i="23"/>
  <c r="F11" i="23" l="1"/>
  <c r="F26" i="23"/>
  <c r="G12" i="23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l="1"/>
  <c r="S12" i="23"/>
  <c r="S11" i="23"/>
  <c r="S10" i="23"/>
  <c r="S9" i="23"/>
  <c r="S8" i="23"/>
  <c r="S7" i="23"/>
  <c r="S6" i="23"/>
  <c r="S5" i="23"/>
  <c r="S4" i="23"/>
  <c r="F31" i="23"/>
  <c r="W31" i="22" l="1"/>
  <c r="W30" i="22"/>
  <c r="W27" i="22"/>
  <c r="W24" i="22"/>
  <c r="W22" i="22"/>
  <c r="F36" i="22"/>
  <c r="C27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M12" i="22"/>
  <c r="N12" i="22" s="1"/>
  <c r="P12" i="22" s="1"/>
  <c r="R12" i="22" s="1"/>
  <c r="E12" i="22"/>
  <c r="M11" i="22"/>
  <c r="N11" i="22" s="1"/>
  <c r="P11" i="22" s="1"/>
  <c r="R11" i="22" s="1"/>
  <c r="E11" i="22"/>
  <c r="M10" i="22"/>
  <c r="N10" i="22" s="1"/>
  <c r="P10" i="22" s="1"/>
  <c r="R10" i="22" s="1"/>
  <c r="M9" i="22"/>
  <c r="N9" i="22" s="1"/>
  <c r="P9" i="22" s="1"/>
  <c r="R9" i="22" s="1"/>
  <c r="M8" i="22"/>
  <c r="N8" i="22" s="1"/>
  <c r="P8" i="22" s="1"/>
  <c r="R8" i="22" s="1"/>
  <c r="M7" i="22"/>
  <c r="N7" i="22" s="1"/>
  <c r="P7" i="22" s="1"/>
  <c r="R7" i="22" s="1"/>
  <c r="M6" i="22"/>
  <c r="N6" i="22" s="1"/>
  <c r="P6" i="22" s="1"/>
  <c r="R6" i="22" s="1"/>
  <c r="M5" i="22"/>
  <c r="N5" i="22" s="1"/>
  <c r="P5" i="22" s="1"/>
  <c r="R5" i="22" s="1"/>
  <c r="M4" i="22"/>
  <c r="N4" i="22" s="1"/>
  <c r="P4" i="22" s="1"/>
  <c r="R4" i="22" s="1"/>
  <c r="F95" i="156" l="1"/>
  <c r="J95" i="156" s="1"/>
  <c r="E26" i="22"/>
  <c r="E27" i="22" s="1"/>
  <c r="F27" i="22" s="1"/>
  <c r="V36" i="22"/>
  <c r="W33" i="22"/>
  <c r="X27" i="22"/>
  <c r="W32" i="22"/>
  <c r="F15" i="22"/>
  <c r="F19" i="22"/>
  <c r="F23" i="22"/>
  <c r="F18" i="22" l="1"/>
  <c r="F25" i="22"/>
  <c r="F21" i="22"/>
  <c r="F17" i="22"/>
  <c r="F13" i="22"/>
  <c r="F12" i="22"/>
  <c r="F22" i="22"/>
  <c r="F14" i="22"/>
  <c r="F26" i="22" s="1"/>
  <c r="F24" i="22"/>
  <c r="F20" i="22"/>
  <c r="F16" i="22"/>
  <c r="F11" i="22"/>
  <c r="G12" i="22"/>
  <c r="G13" i="22" s="1"/>
  <c r="G14" i="22" l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S6" i="22" l="1"/>
  <c r="S10" i="22"/>
  <c r="F31" i="22"/>
  <c r="S7" i="22"/>
  <c r="S11" i="22"/>
  <c r="S4" i="22"/>
  <c r="S8" i="22"/>
  <c r="S12" i="22"/>
  <c r="S5" i="22"/>
  <c r="S9" i="22"/>
  <c r="W31" i="21"/>
  <c r="W30" i="21"/>
  <c r="W27" i="21"/>
  <c r="W24" i="21"/>
  <c r="W22" i="21"/>
  <c r="F36" i="21"/>
  <c r="C27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M12" i="21"/>
  <c r="N12" i="21" s="1"/>
  <c r="P12" i="21" s="1"/>
  <c r="E12" i="21"/>
  <c r="E26" i="21" s="1"/>
  <c r="E27" i="21" s="1"/>
  <c r="F27" i="21" s="1"/>
  <c r="M11" i="21"/>
  <c r="N11" i="21" s="1"/>
  <c r="P11" i="21" s="1"/>
  <c r="E11" i="21"/>
  <c r="M10" i="21"/>
  <c r="N10" i="21" s="1"/>
  <c r="P10" i="21" s="1"/>
  <c r="M9" i="21"/>
  <c r="N9" i="21" s="1"/>
  <c r="P9" i="21" s="1"/>
  <c r="R9" i="21" s="1"/>
  <c r="M8" i="21"/>
  <c r="N8" i="21" s="1"/>
  <c r="P8" i="21" s="1"/>
  <c r="M7" i="21"/>
  <c r="N7" i="21" s="1"/>
  <c r="P7" i="21" s="1"/>
  <c r="M6" i="21"/>
  <c r="N6" i="21" s="1"/>
  <c r="P6" i="21" s="1"/>
  <c r="M5" i="21"/>
  <c r="N5" i="21" s="1"/>
  <c r="P5" i="21" s="1"/>
  <c r="R5" i="21" s="1"/>
  <c r="M4" i="21"/>
  <c r="N4" i="21" s="1"/>
  <c r="P4" i="21" s="1"/>
  <c r="R10" i="21" l="1"/>
  <c r="R7" i="21"/>
  <c r="F11" i="21"/>
  <c r="F94" i="156"/>
  <c r="J94" i="156" s="1"/>
  <c r="R6" i="21"/>
  <c r="R12" i="21"/>
  <c r="R4" i="21"/>
  <c r="R8" i="21"/>
  <c r="R11" i="21"/>
  <c r="W33" i="21"/>
  <c r="V36" i="21"/>
  <c r="X27" i="21"/>
  <c r="W3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12" i="21"/>
  <c r="F26" i="21" l="1"/>
  <c r="G12" i="2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l="1"/>
  <c r="S12" i="21"/>
  <c r="S11" i="21"/>
  <c r="S10" i="21"/>
  <c r="S9" i="21"/>
  <c r="S8" i="21"/>
  <c r="S7" i="21"/>
  <c r="S6" i="21"/>
  <c r="S5" i="21"/>
  <c r="S4" i="21"/>
  <c r="F31" i="21"/>
  <c r="W31" i="17" l="1"/>
  <c r="W30" i="17"/>
  <c r="W27" i="17"/>
  <c r="W24" i="17"/>
  <c r="W22" i="17"/>
  <c r="F36" i="17"/>
  <c r="C27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M12" i="17"/>
  <c r="N12" i="17" s="1"/>
  <c r="P12" i="17" s="1"/>
  <c r="R12" i="17" s="1"/>
  <c r="E12" i="17"/>
  <c r="M11" i="17"/>
  <c r="N11" i="17" s="1"/>
  <c r="P11" i="17" s="1"/>
  <c r="R11" i="17" s="1"/>
  <c r="E11" i="17"/>
  <c r="M10" i="17"/>
  <c r="N10" i="17" s="1"/>
  <c r="P10" i="17" s="1"/>
  <c r="R10" i="17" s="1"/>
  <c r="M9" i="17"/>
  <c r="N9" i="17" s="1"/>
  <c r="P9" i="17" s="1"/>
  <c r="R9" i="17" s="1"/>
  <c r="M8" i="17"/>
  <c r="N8" i="17" s="1"/>
  <c r="P8" i="17" s="1"/>
  <c r="R8" i="17" s="1"/>
  <c r="M7" i="17"/>
  <c r="N7" i="17" s="1"/>
  <c r="P7" i="17" s="1"/>
  <c r="R7" i="17" s="1"/>
  <c r="M6" i="17"/>
  <c r="N6" i="17" s="1"/>
  <c r="P6" i="17" s="1"/>
  <c r="R6" i="17" s="1"/>
  <c r="M5" i="17"/>
  <c r="N5" i="17" s="1"/>
  <c r="P5" i="17" s="1"/>
  <c r="R5" i="17" s="1"/>
  <c r="M4" i="17"/>
  <c r="N4" i="17" s="1"/>
  <c r="P4" i="17" s="1"/>
  <c r="R4" i="17" s="1"/>
  <c r="F80" i="156" l="1"/>
  <c r="J80" i="156" s="1"/>
  <c r="E26" i="17"/>
  <c r="E27" i="17" s="1"/>
  <c r="F27" i="17" s="1"/>
  <c r="W33" i="17"/>
  <c r="V36" i="17"/>
  <c r="X27" i="17"/>
  <c r="W32" i="17"/>
  <c r="F14" i="17"/>
  <c r="F15" i="17"/>
  <c r="F16" i="17"/>
  <c r="F18" i="17"/>
  <c r="F19" i="17"/>
  <c r="F20" i="17"/>
  <c r="F22" i="17"/>
  <c r="F23" i="17"/>
  <c r="F24" i="17"/>
  <c r="F25" i="17"/>
  <c r="F12" i="17"/>
  <c r="F21" i="17" l="1"/>
  <c r="F17" i="17"/>
  <c r="F13" i="17"/>
  <c r="F11" i="17"/>
  <c r="F26" i="17"/>
  <c r="G12" i="17"/>
  <c r="G13" i="17" l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/>
  <c r="S12" i="17"/>
  <c r="S11" i="17"/>
  <c r="S10" i="17"/>
  <c r="S9" i="17"/>
  <c r="S8" i="17"/>
  <c r="S7" i="17"/>
  <c r="S6" i="17"/>
  <c r="S5" i="17"/>
  <c r="S4" i="17"/>
  <c r="F31" i="17"/>
  <c r="W22" i="16" l="1"/>
  <c r="W24" i="16"/>
  <c r="F65" i="156" s="1"/>
  <c r="J65" i="156" s="1"/>
  <c r="W27" i="16"/>
  <c r="W30" i="16"/>
  <c r="W31" i="16"/>
  <c r="W32" i="16"/>
  <c r="F36" i="16"/>
  <c r="C27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M12" i="16"/>
  <c r="N12" i="16" s="1"/>
  <c r="P12" i="16" s="1"/>
  <c r="E12" i="16"/>
  <c r="M11" i="16"/>
  <c r="N11" i="16" s="1"/>
  <c r="P11" i="16" s="1"/>
  <c r="R11" i="16" s="1"/>
  <c r="E11" i="16"/>
  <c r="M10" i="16"/>
  <c r="N10" i="16" s="1"/>
  <c r="P10" i="16" s="1"/>
  <c r="M9" i="16"/>
  <c r="N9" i="16" s="1"/>
  <c r="P9" i="16" s="1"/>
  <c r="R9" i="16" s="1"/>
  <c r="M8" i="16"/>
  <c r="N8" i="16" s="1"/>
  <c r="P8" i="16" s="1"/>
  <c r="R8" i="16" s="1"/>
  <c r="M7" i="16"/>
  <c r="N7" i="16" s="1"/>
  <c r="P7" i="16" s="1"/>
  <c r="M6" i="16"/>
  <c r="N6" i="16" s="1"/>
  <c r="P6" i="16" s="1"/>
  <c r="M5" i="16"/>
  <c r="N5" i="16" s="1"/>
  <c r="P5" i="16" s="1"/>
  <c r="R5" i="16" s="1"/>
  <c r="M4" i="16"/>
  <c r="N4" i="16" s="1"/>
  <c r="P4" i="16" s="1"/>
  <c r="R4" i="16" s="1"/>
  <c r="E26" i="16" l="1"/>
  <c r="E27" i="16" s="1"/>
  <c r="F27" i="16" s="1"/>
  <c r="R6" i="16"/>
  <c r="R10" i="16"/>
  <c r="R12" i="16"/>
  <c r="R7" i="16"/>
  <c r="F11" i="16"/>
  <c r="W33" i="16"/>
  <c r="X27" i="16"/>
  <c r="V36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12" i="16"/>
  <c r="F26" i="16" l="1"/>
  <c r="G12" i="16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l="1"/>
  <c r="S12" i="16"/>
  <c r="S11" i="16"/>
  <c r="S10" i="16"/>
  <c r="S9" i="16"/>
  <c r="S8" i="16"/>
  <c r="S7" i="16"/>
  <c r="S6" i="16"/>
  <c r="S5" i="16"/>
  <c r="S4" i="16"/>
  <c r="F31" i="16"/>
  <c r="W31" i="15" l="1"/>
  <c r="W30" i="15"/>
  <c r="W27" i="15"/>
  <c r="W24" i="15"/>
  <c r="W22" i="15"/>
  <c r="F36" i="15"/>
  <c r="G33" i="15"/>
  <c r="C27" i="15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E15" i="15"/>
  <c r="D14" i="15"/>
  <c r="E14" i="15" s="1"/>
  <c r="D13" i="15"/>
  <c r="E13" i="15" s="1"/>
  <c r="M12" i="15"/>
  <c r="N12" i="15" s="1"/>
  <c r="P12" i="15" s="1"/>
  <c r="R12" i="15" s="1"/>
  <c r="D12" i="15"/>
  <c r="E12" i="15" s="1"/>
  <c r="M11" i="15"/>
  <c r="N11" i="15" s="1"/>
  <c r="P11" i="15" s="1"/>
  <c r="R11" i="15" s="1"/>
  <c r="D11" i="15"/>
  <c r="E11" i="15" s="1"/>
  <c r="M10" i="15"/>
  <c r="N10" i="15" s="1"/>
  <c r="P10" i="15" s="1"/>
  <c r="R10" i="15" s="1"/>
  <c r="M9" i="15"/>
  <c r="N9" i="15" s="1"/>
  <c r="P9" i="15" s="1"/>
  <c r="R9" i="15" s="1"/>
  <c r="M8" i="15"/>
  <c r="N8" i="15" s="1"/>
  <c r="P8" i="15" s="1"/>
  <c r="R8" i="15" s="1"/>
  <c r="M7" i="15"/>
  <c r="N7" i="15" s="1"/>
  <c r="P7" i="15" s="1"/>
  <c r="R7" i="15" s="1"/>
  <c r="M6" i="15"/>
  <c r="N6" i="15" s="1"/>
  <c r="P6" i="15" s="1"/>
  <c r="R6" i="15" s="1"/>
  <c r="M5" i="15"/>
  <c r="N5" i="15" s="1"/>
  <c r="P5" i="15" s="1"/>
  <c r="R5" i="15" s="1"/>
  <c r="M4" i="15"/>
  <c r="N4" i="15" s="1"/>
  <c r="P4" i="15" s="1"/>
  <c r="R4" i="15" s="1"/>
  <c r="F29" i="156" l="1"/>
  <c r="J29" i="156" s="1"/>
  <c r="V36" i="15"/>
  <c r="W33" i="15"/>
  <c r="X27" i="15"/>
  <c r="W32" i="15"/>
  <c r="E26" i="15"/>
  <c r="E27" i="15" s="1"/>
  <c r="F27" i="15" s="1"/>
  <c r="F14" i="15"/>
  <c r="F18" i="15"/>
  <c r="F22" i="15"/>
  <c r="F25" i="15" l="1"/>
  <c r="F17" i="15"/>
  <c r="F24" i="15"/>
  <c r="F11" i="15"/>
  <c r="F21" i="15"/>
  <c r="F13" i="15"/>
  <c r="F20" i="15"/>
  <c r="F16" i="15"/>
  <c r="F23" i="15"/>
  <c r="F19" i="15"/>
  <c r="F15" i="15"/>
  <c r="F12" i="15"/>
  <c r="F26" i="15" s="1"/>
  <c r="G12" i="15" l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S10" i="15" l="1"/>
  <c r="S7" i="15"/>
  <c r="S4" i="15"/>
  <c r="S12" i="15"/>
  <c r="S6" i="15"/>
  <c r="F31" i="15"/>
  <c r="S11" i="15"/>
  <c r="S8" i="15"/>
  <c r="S5" i="15"/>
  <c r="S9" i="15"/>
  <c r="W31" i="14"/>
  <c r="W30" i="14"/>
  <c r="W27" i="14"/>
  <c r="W24" i="14"/>
  <c r="F16" i="156" s="1"/>
  <c r="J16" i="156" s="1"/>
  <c r="W22" i="14"/>
  <c r="F36" i="14"/>
  <c r="G33" i="14"/>
  <c r="C27" i="14"/>
  <c r="D25" i="14"/>
  <c r="E25" i="14" s="1"/>
  <c r="D24" i="14"/>
  <c r="E24" i="14" s="1"/>
  <c r="D23" i="14"/>
  <c r="E23" i="14" s="1"/>
  <c r="D22" i="14"/>
  <c r="E22" i="14" s="1"/>
  <c r="D21" i="14"/>
  <c r="E21" i="14" s="1"/>
  <c r="D20" i="14"/>
  <c r="E20" i="14" s="1"/>
  <c r="D19" i="14"/>
  <c r="E19" i="14" s="1"/>
  <c r="D18" i="14"/>
  <c r="E18" i="14" s="1"/>
  <c r="D17" i="14"/>
  <c r="E17" i="14" s="1"/>
  <c r="D16" i="14"/>
  <c r="E16" i="14" s="1"/>
  <c r="E15" i="14"/>
  <c r="E14" i="14"/>
  <c r="E13" i="14"/>
  <c r="M12" i="14"/>
  <c r="N12" i="14" s="1"/>
  <c r="P12" i="14" s="1"/>
  <c r="R12" i="14" s="1"/>
  <c r="E12" i="14"/>
  <c r="M11" i="14"/>
  <c r="N11" i="14" s="1"/>
  <c r="P11" i="14" s="1"/>
  <c r="E11" i="14"/>
  <c r="M10" i="14"/>
  <c r="N10" i="14" s="1"/>
  <c r="P10" i="14" s="1"/>
  <c r="R10" i="14" s="1"/>
  <c r="M9" i="14"/>
  <c r="N9" i="14" s="1"/>
  <c r="P9" i="14" s="1"/>
  <c r="M8" i="14"/>
  <c r="N8" i="14" s="1"/>
  <c r="P8" i="14" s="1"/>
  <c r="M7" i="14"/>
  <c r="N7" i="14" s="1"/>
  <c r="P7" i="14" s="1"/>
  <c r="M6" i="14"/>
  <c r="N6" i="14" s="1"/>
  <c r="P6" i="14" s="1"/>
  <c r="R6" i="14" s="1"/>
  <c r="M5" i="14"/>
  <c r="N5" i="14" s="1"/>
  <c r="P5" i="14" s="1"/>
  <c r="R5" i="14" s="1"/>
  <c r="M4" i="14"/>
  <c r="N4" i="14" s="1"/>
  <c r="P4" i="14" s="1"/>
  <c r="R7" i="14" l="1"/>
  <c r="T11" i="15"/>
  <c r="S13" i="15"/>
  <c r="T12" i="15" s="1"/>
  <c r="T4" i="15"/>
  <c r="R4" i="14"/>
  <c r="R8" i="14"/>
  <c r="R11" i="14"/>
  <c r="T9" i="15"/>
  <c r="R9" i="14"/>
  <c r="E26" i="14"/>
  <c r="E27" i="14" s="1"/>
  <c r="F27" i="14" s="1"/>
  <c r="T5" i="15"/>
  <c r="T10" i="15"/>
  <c r="F18" i="14"/>
  <c r="V36" i="14"/>
  <c r="W33" i="14"/>
  <c r="X27" i="14"/>
  <c r="W32" i="14"/>
  <c r="F13" i="14"/>
  <c r="F16" i="14"/>
  <c r="F17" i="14"/>
  <c r="F21" i="14"/>
  <c r="F22" i="14"/>
  <c r="F25" i="14"/>
  <c r="F12" i="14"/>
  <c r="F11" i="14" l="1"/>
  <c r="F24" i="14"/>
  <c r="F20" i="14"/>
  <c r="F15" i="14"/>
  <c r="F26" i="14" s="1"/>
  <c r="F23" i="14"/>
  <c r="F19" i="14"/>
  <c r="F14" i="14"/>
  <c r="T6" i="15"/>
  <c r="T7" i="15"/>
  <c r="T8" i="15"/>
  <c r="G12" i="14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l="1"/>
  <c r="S12" i="14"/>
  <c r="S11" i="14"/>
  <c r="S10" i="14"/>
  <c r="S9" i="14"/>
  <c r="S8" i="14"/>
  <c r="S7" i="14"/>
  <c r="S6" i="14"/>
  <c r="S5" i="14"/>
  <c r="S4" i="14"/>
  <c r="F31" i="14"/>
  <c r="S13" i="14" l="1"/>
  <c r="T4" i="14"/>
  <c r="T6" i="14"/>
  <c r="T8" i="14"/>
  <c r="T10" i="14"/>
  <c r="T12" i="14"/>
  <c r="T5" i="14"/>
  <c r="T7" i="14"/>
  <c r="T9" i="14"/>
  <c r="T11" i="14"/>
  <c r="W31" i="13"/>
  <c r="W30" i="13"/>
  <c r="W27" i="13"/>
  <c r="W24" i="13"/>
  <c r="W22" i="13"/>
  <c r="F36" i="13"/>
  <c r="C27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M12" i="13"/>
  <c r="N12" i="13" s="1"/>
  <c r="P12" i="13" s="1"/>
  <c r="E12" i="13"/>
  <c r="E26" i="13" s="1"/>
  <c r="E27" i="13" s="1"/>
  <c r="F27" i="13" s="1"/>
  <c r="M11" i="13"/>
  <c r="N11" i="13" s="1"/>
  <c r="P11" i="13" s="1"/>
  <c r="E11" i="13"/>
  <c r="M10" i="13"/>
  <c r="N10" i="13" s="1"/>
  <c r="P10" i="13" s="1"/>
  <c r="M9" i="13"/>
  <c r="N9" i="13" s="1"/>
  <c r="P9" i="13" s="1"/>
  <c r="R9" i="13" s="1"/>
  <c r="M8" i="13"/>
  <c r="N8" i="13" s="1"/>
  <c r="P8" i="13" s="1"/>
  <c r="M7" i="13"/>
  <c r="N7" i="13" s="1"/>
  <c r="P7" i="13" s="1"/>
  <c r="M6" i="13"/>
  <c r="N6" i="13" s="1"/>
  <c r="P6" i="13" s="1"/>
  <c r="M5" i="13"/>
  <c r="N5" i="13" s="1"/>
  <c r="P5" i="13" s="1"/>
  <c r="R5" i="13" s="1"/>
  <c r="M4" i="13"/>
  <c r="N4" i="13" s="1"/>
  <c r="P4" i="13" s="1"/>
  <c r="R10" i="13" l="1"/>
  <c r="R12" i="13"/>
  <c r="R7" i="13"/>
  <c r="F11" i="13"/>
  <c r="F62" i="156"/>
  <c r="J62" i="156" s="1"/>
  <c r="R6" i="13"/>
  <c r="R4" i="13"/>
  <c r="R8" i="13"/>
  <c r="R11" i="13"/>
  <c r="V36" i="13"/>
  <c r="W33" i="13"/>
  <c r="X27" i="13"/>
  <c r="W3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12" i="13"/>
  <c r="F26" i="13" l="1"/>
  <c r="G12" i="13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l="1"/>
  <c r="S12" i="13"/>
  <c r="S11" i="13"/>
  <c r="S10" i="13"/>
  <c r="S9" i="13"/>
  <c r="S8" i="13"/>
  <c r="S7" i="13"/>
  <c r="S6" i="13"/>
  <c r="S5" i="13"/>
  <c r="S4" i="13"/>
  <c r="F31" i="13"/>
  <c r="W31" i="10" l="1"/>
  <c r="W30" i="10"/>
  <c r="W27" i="10"/>
  <c r="W24" i="10"/>
  <c r="W22" i="10"/>
  <c r="W24" i="11"/>
  <c r="W31" i="11"/>
  <c r="W30" i="11"/>
  <c r="W27" i="11"/>
  <c r="W22" i="11"/>
  <c r="W33" i="11" s="1"/>
  <c r="W24" i="12"/>
  <c r="W27" i="12"/>
  <c r="W31" i="12"/>
  <c r="W30" i="12"/>
  <c r="W22" i="12"/>
  <c r="W33" i="12" s="1"/>
  <c r="M4" i="12"/>
  <c r="N4" i="12" s="1"/>
  <c r="P4" i="12" s="1"/>
  <c r="M5" i="12"/>
  <c r="N5" i="12"/>
  <c r="P5" i="12" s="1"/>
  <c r="M6" i="12"/>
  <c r="N6" i="12"/>
  <c r="P6" i="12"/>
  <c r="M7" i="12"/>
  <c r="N7" i="12"/>
  <c r="P7" i="12"/>
  <c r="M8" i="12"/>
  <c r="N8" i="12" s="1"/>
  <c r="P8" i="12" s="1"/>
  <c r="M9" i="12"/>
  <c r="N9" i="12"/>
  <c r="P9" i="12" s="1"/>
  <c r="M10" i="12"/>
  <c r="N10" i="12"/>
  <c r="P10" i="12"/>
  <c r="E11" i="12"/>
  <c r="G11" i="12"/>
  <c r="M11" i="12"/>
  <c r="N11" i="12"/>
  <c r="P11" i="12" s="1"/>
  <c r="E12" i="12"/>
  <c r="M12" i="12"/>
  <c r="N12" i="12"/>
  <c r="P12" i="12" s="1"/>
  <c r="E13" i="12"/>
  <c r="E14" i="12"/>
  <c r="E15" i="12"/>
  <c r="E25" i="12" s="1"/>
  <c r="E16" i="12"/>
  <c r="E17" i="12"/>
  <c r="E18" i="12"/>
  <c r="E19" i="12"/>
  <c r="E20" i="12"/>
  <c r="E21" i="12"/>
  <c r="E22" i="12"/>
  <c r="E23" i="12"/>
  <c r="D24" i="12"/>
  <c r="E24" i="12"/>
  <c r="F35" i="12"/>
  <c r="F36" i="11"/>
  <c r="D25" i="11"/>
  <c r="E25" i="11" s="1"/>
  <c r="E24" i="11"/>
  <c r="E23" i="11"/>
  <c r="E22" i="11"/>
  <c r="E21" i="11"/>
  <c r="E20" i="11"/>
  <c r="E19" i="11"/>
  <c r="E18" i="11"/>
  <c r="E17" i="11"/>
  <c r="E16" i="11"/>
  <c r="E15" i="11"/>
  <c r="E14" i="11"/>
  <c r="M13" i="11"/>
  <c r="N13" i="11" s="1"/>
  <c r="P13" i="11" s="1"/>
  <c r="R13" i="11" s="1"/>
  <c r="E13" i="11"/>
  <c r="M12" i="11"/>
  <c r="N12" i="11" s="1"/>
  <c r="P12" i="11" s="1"/>
  <c r="E12" i="11"/>
  <c r="E11" i="11"/>
  <c r="M10" i="11"/>
  <c r="N10" i="11" s="1"/>
  <c r="P10" i="11" s="1"/>
  <c r="M9" i="11"/>
  <c r="N9" i="11" s="1"/>
  <c r="P9" i="11" s="1"/>
  <c r="M8" i="11"/>
  <c r="N8" i="11" s="1"/>
  <c r="P8" i="11" s="1"/>
  <c r="R8" i="11" s="1"/>
  <c r="M7" i="11"/>
  <c r="N7" i="11" s="1"/>
  <c r="P7" i="11" s="1"/>
  <c r="R7" i="11" s="1"/>
  <c r="M6" i="11"/>
  <c r="N6" i="11" s="1"/>
  <c r="P6" i="11" s="1"/>
  <c r="M5" i="11"/>
  <c r="N5" i="11" s="1"/>
  <c r="P5" i="11" s="1"/>
  <c r="M4" i="11"/>
  <c r="N4" i="11" s="1"/>
  <c r="P4" i="11" s="1"/>
  <c r="R4" i="11" s="1"/>
  <c r="F36" i="10"/>
  <c r="C26" i="10"/>
  <c r="D25" i="10"/>
  <c r="E25" i="10" s="1"/>
  <c r="E24" i="10"/>
  <c r="E23" i="10"/>
  <c r="E22" i="10"/>
  <c r="E21" i="10"/>
  <c r="E20" i="10"/>
  <c r="E19" i="10"/>
  <c r="E18" i="10"/>
  <c r="E17" i="10"/>
  <c r="E16" i="10"/>
  <c r="E15" i="10"/>
  <c r="E14" i="10"/>
  <c r="M13" i="10"/>
  <c r="N13" i="10" s="1"/>
  <c r="P13" i="10" s="1"/>
  <c r="E13" i="10"/>
  <c r="M12" i="10"/>
  <c r="N12" i="10" s="1"/>
  <c r="P12" i="10" s="1"/>
  <c r="R12" i="10" s="1"/>
  <c r="E12" i="10"/>
  <c r="E11" i="10"/>
  <c r="M10" i="10"/>
  <c r="N10" i="10" s="1"/>
  <c r="P10" i="10" s="1"/>
  <c r="M9" i="10"/>
  <c r="N9" i="10" s="1"/>
  <c r="P9" i="10" s="1"/>
  <c r="R9" i="10" s="1"/>
  <c r="M8" i="10"/>
  <c r="N8" i="10" s="1"/>
  <c r="P8" i="10" s="1"/>
  <c r="M7" i="10"/>
  <c r="N7" i="10" s="1"/>
  <c r="P7" i="10" s="1"/>
  <c r="M6" i="10"/>
  <c r="N6" i="10" s="1"/>
  <c r="P6" i="10" s="1"/>
  <c r="M5" i="10"/>
  <c r="N5" i="10" s="1"/>
  <c r="P5" i="10" s="1"/>
  <c r="R5" i="10" s="1"/>
  <c r="M4" i="10"/>
  <c r="N4" i="10" s="1"/>
  <c r="P4" i="10" s="1"/>
  <c r="F11" i="12" l="1"/>
  <c r="E26" i="12"/>
  <c r="F26" i="12" s="1"/>
  <c r="R10" i="10"/>
  <c r="E26" i="11"/>
  <c r="E27" i="11" s="1"/>
  <c r="F27" i="11" s="1"/>
  <c r="F116" i="156"/>
  <c r="J116" i="156" s="1"/>
  <c r="F64" i="156"/>
  <c r="J64" i="156" s="1"/>
  <c r="R7" i="10"/>
  <c r="F11" i="10"/>
  <c r="R13" i="10"/>
  <c r="R5" i="11"/>
  <c r="R9" i="11"/>
  <c r="R12" i="11"/>
  <c r="R4" i="12"/>
  <c r="V36" i="11"/>
  <c r="F110" i="156"/>
  <c r="J110" i="156" s="1"/>
  <c r="R6" i="10"/>
  <c r="R4" i="10"/>
  <c r="R8" i="10"/>
  <c r="E26" i="10"/>
  <c r="E27" i="10" s="1"/>
  <c r="F27" i="10" s="1"/>
  <c r="R6" i="11"/>
  <c r="R10" i="11"/>
  <c r="V36" i="10"/>
  <c r="V36" i="12"/>
  <c r="W33" i="10"/>
  <c r="X27" i="10"/>
  <c r="W32" i="10"/>
  <c r="X27" i="11"/>
  <c r="W32" i="11"/>
  <c r="X27" i="12"/>
  <c r="W32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R12" i="12"/>
  <c r="F12" i="12"/>
  <c r="G12" i="12" s="1"/>
  <c r="R11" i="12"/>
  <c r="R10" i="12"/>
  <c r="R9" i="12"/>
  <c r="R8" i="12"/>
  <c r="R7" i="12"/>
  <c r="R6" i="12"/>
  <c r="R5" i="12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12" i="11"/>
  <c r="F13" i="10"/>
  <c r="F16" i="10"/>
  <c r="F17" i="10"/>
  <c r="F18" i="10"/>
  <c r="F19" i="10"/>
  <c r="F20" i="10"/>
  <c r="F21" i="10"/>
  <c r="F22" i="10"/>
  <c r="F23" i="10"/>
  <c r="F24" i="10"/>
  <c r="F25" i="10"/>
  <c r="F12" i="10"/>
  <c r="F15" i="10" l="1"/>
  <c r="G13" i="12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S4" i="12" s="1"/>
  <c r="F11" i="11"/>
  <c r="F14" i="10"/>
  <c r="F26" i="10" s="1"/>
  <c r="S5" i="12"/>
  <c r="S7" i="12"/>
  <c r="S9" i="12"/>
  <c r="S11" i="12"/>
  <c r="G24" i="12"/>
  <c r="F25" i="12"/>
  <c r="F26" i="11"/>
  <c r="G12" i="1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G12" i="10"/>
  <c r="G13" i="10" s="1"/>
  <c r="G14" i="10" l="1"/>
  <c r="G15" i="10" s="1"/>
  <c r="G16" i="10" s="1"/>
  <c r="G17" i="10" s="1"/>
  <c r="G18" i="10" s="1"/>
  <c r="G19" i="10" s="1"/>
  <c r="G20" i="10" s="1"/>
  <c r="G21" i="10" s="1"/>
  <c r="G22" i="10" s="1"/>
  <c r="G23" i="10" s="1"/>
  <c r="G24" i="10" s="1"/>
  <c r="S12" i="10" s="1"/>
  <c r="S10" i="12"/>
  <c r="S6" i="12"/>
  <c r="S12" i="12"/>
  <c r="S8" i="12"/>
  <c r="G25" i="11"/>
  <c r="S13" i="11"/>
  <c r="S12" i="11"/>
  <c r="S10" i="11"/>
  <c r="S9" i="11"/>
  <c r="S8" i="11"/>
  <c r="S7" i="11"/>
  <c r="S6" i="11"/>
  <c r="S5" i="11"/>
  <c r="S4" i="11"/>
  <c r="G25" i="10"/>
  <c r="S13" i="10"/>
  <c r="S10" i="10"/>
  <c r="S9" i="10"/>
  <c r="S8" i="10"/>
  <c r="S6" i="10"/>
  <c r="S5" i="10"/>
  <c r="S4" i="10"/>
  <c r="S7" i="10" l="1"/>
</calcChain>
</file>

<file path=xl/comments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2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3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4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5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6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7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8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9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0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5.xml><?xml version="1.0" encoding="utf-8"?>
<comments xmlns="http://schemas.openxmlformats.org/spreadsheetml/2006/main">
  <authors>
    <author>Diana Burghardt</author>
  </authors>
  <commentList>
    <comment ref="D24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4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1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2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3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4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5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6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0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1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2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3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4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5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6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7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8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comments179.xml><?xml version="1.0" encoding="utf-8"?>
<comments xmlns="http://schemas.openxmlformats.org/spreadsheetml/2006/main">
  <authors>
    <author>Diana Burghardt</author>
  </authors>
  <commentList>
    <comment ref="D25" authorId="0" shapeId="0">
      <text>
        <r>
          <rPr>
            <b/>
            <u/>
            <sz val="12"/>
            <color indexed="81"/>
            <rFont val="Tahoma"/>
            <family val="2"/>
          </rPr>
          <t>bei kombinierter Sieb-/Schlämmanalyse: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md,A&lt;0,063: Siebdurchgang der Nassiebung der Teilprobe A nach Trocknung bei 105°C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1" authorId="0" shapeId="0">
      <text>
        <r>
          <rPr>
            <sz val="8"/>
            <color indexed="81"/>
            <rFont val="Tahoma"/>
            <family val="2"/>
          </rPr>
          <t>=</t>
        </r>
        <r>
          <rPr>
            <sz val="16"/>
            <color indexed="81"/>
            <rFont val="Tahoma"/>
            <family val="2"/>
          </rPr>
          <t>30g*(1+WG(A))*100/Siebdurchgang md,A&lt;0,063 (%)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5" authorId="0" shapeId="0">
      <text>
        <r>
          <rPr>
            <b/>
            <sz val="12"/>
            <color indexed="81"/>
            <rFont val="Tahoma"/>
            <family val="2"/>
          </rPr>
          <t>Diana Burghardt:</t>
        </r>
        <r>
          <rPr>
            <sz val="12"/>
            <color indexed="81"/>
            <rFont val="Tahoma"/>
            <family val="2"/>
          </rPr>
          <t xml:space="preserve">
Trockenmasse Teilprobe B (md,B&lt;0.063): 
Ermittlung durch Eindampfen nach Versuchsende</t>
        </r>
      </text>
    </comment>
  </commentList>
</comments>
</file>

<file path=xl/sharedStrings.xml><?xml version="1.0" encoding="utf-8"?>
<sst xmlns="http://schemas.openxmlformats.org/spreadsheetml/2006/main" count="20818" uniqueCount="402">
  <si>
    <t>[g]</t>
  </si>
  <si>
    <t>[%]</t>
  </si>
  <si>
    <t xml:space="preserve">Protokoll zur Ermittlung der Korngrößenverteilung durch Siebung </t>
  </si>
  <si>
    <t>[mm]</t>
  </si>
  <si>
    <t>Bodenart:</t>
  </si>
  <si>
    <t>g</t>
  </si>
  <si>
    <r>
      <t xml:space="preserve"> g/cm</t>
    </r>
    <r>
      <rPr>
        <vertAlign val="superscript"/>
        <sz val="10"/>
        <rFont val="Arial"/>
        <family val="2"/>
      </rPr>
      <t>3</t>
    </r>
  </si>
  <si>
    <t xml:space="preserve"> g</t>
  </si>
  <si>
    <t>T</t>
  </si>
  <si>
    <r>
      <t xml:space="preserve">Korndichte </t>
    </r>
    <r>
      <rPr>
        <b/>
        <sz val="10"/>
        <rFont val="Symbol"/>
        <family val="1"/>
        <charset val="2"/>
      </rPr>
      <t>r</t>
    </r>
    <r>
      <rPr>
        <b/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</si>
  <si>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r>
      <t xml:space="preserve">Umrechnungsfaktor </t>
    </r>
    <r>
      <rPr>
        <b/>
        <sz val="10"/>
        <rFont val="Arial"/>
        <family val="2"/>
      </rPr>
      <t xml:space="preserve">f </t>
    </r>
    <r>
      <rPr>
        <sz val="10"/>
        <rFont val="Arial"/>
        <family val="2"/>
      </rPr>
      <t>= 100/m</t>
    </r>
    <r>
      <rPr>
        <vertAlign val="subscript"/>
        <sz val="10"/>
        <rFont val="Arial"/>
        <family val="2"/>
      </rPr>
      <t>d</t>
    </r>
    <r>
      <rPr>
        <sz val="10"/>
        <rFont val="Arial"/>
        <family val="2"/>
      </rPr>
      <t>*</t>
    </r>
    <r>
      <rPr>
        <sz val="10"/>
        <rFont val="Symbol"/>
        <family val="1"/>
        <charset val="2"/>
      </rPr>
      <t>r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/(</t>
    </r>
    <r>
      <rPr>
        <sz val="10"/>
        <rFont val="Symbol"/>
        <family val="1"/>
        <charset val="2"/>
      </rPr>
      <t>r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-1)</t>
    </r>
  </si>
  <si>
    <t>Siebgröße</t>
  </si>
  <si>
    <t>Lochbleche</t>
  </si>
  <si>
    <t>Drahtgewebe</t>
  </si>
  <si>
    <t>&lt;0,063</t>
  </si>
  <si>
    <r>
      <rPr>
        <b/>
        <sz val="10"/>
        <rFont val="Symbol"/>
        <family val="1"/>
        <charset val="2"/>
      </rPr>
      <t>S</t>
    </r>
    <r>
      <rPr>
        <b/>
        <sz val="10"/>
        <rFont val="Arial"/>
        <family val="2"/>
      </rPr>
      <t xml:space="preserve"> Sieb-durchgang</t>
    </r>
  </si>
  <si>
    <r>
      <t>m</t>
    </r>
    <r>
      <rPr>
        <b/>
        <vertAlign val="subscript"/>
        <sz val="10"/>
        <rFont val="Arial"/>
        <family val="2"/>
      </rPr>
      <t>R</t>
    </r>
    <r>
      <rPr>
        <b/>
        <sz val="10"/>
        <rFont val="Arial"/>
        <family val="2"/>
      </rPr>
      <t>+T</t>
    </r>
  </si>
  <si>
    <r>
      <t>R=m</t>
    </r>
    <r>
      <rPr>
        <b/>
        <vertAlign val="subscript"/>
        <sz val="10"/>
        <rFont val="Arial"/>
        <family val="2"/>
      </rPr>
      <t>R</t>
    </r>
    <r>
      <rPr>
        <b/>
        <sz val="10"/>
        <rFont val="Arial"/>
        <family val="2"/>
      </rPr>
      <t>/</t>
    </r>
    <r>
      <rPr>
        <b/>
        <sz val="10"/>
        <rFont val="Symbol"/>
        <family val="1"/>
        <charset val="2"/>
      </rPr>
      <t>S</t>
    </r>
    <r>
      <rPr>
        <b/>
        <sz val="10"/>
        <rFont val="Arial"/>
        <family val="2"/>
      </rPr>
      <t>m</t>
    </r>
    <r>
      <rPr>
        <b/>
        <vertAlign val="subscript"/>
        <sz val="10"/>
        <rFont val="Arial"/>
        <family val="2"/>
      </rPr>
      <t>R</t>
    </r>
    <r>
      <rPr>
        <b/>
        <sz val="10"/>
        <rFont val="Arial"/>
        <family val="2"/>
      </rPr>
      <t>*100</t>
    </r>
  </si>
  <si>
    <r>
      <t>m</t>
    </r>
    <r>
      <rPr>
        <b/>
        <vertAlign val="subscript"/>
        <sz val="10"/>
        <rFont val="Arial"/>
        <family val="2"/>
      </rPr>
      <t>R</t>
    </r>
  </si>
  <si>
    <r>
      <rPr>
        <b/>
        <sz val="10"/>
        <rFont val="Symbol"/>
        <family val="1"/>
        <charset val="2"/>
      </rPr>
      <t>S</t>
    </r>
    <r>
      <rPr>
        <b/>
        <sz val="10"/>
        <rFont val="Arial"/>
        <family val="2"/>
      </rPr>
      <t>m</t>
    </r>
    <r>
      <rPr>
        <b/>
        <vertAlign val="subscript"/>
        <sz val="10"/>
        <rFont val="Arial"/>
        <family val="2"/>
      </rPr>
      <t>R</t>
    </r>
  </si>
  <si>
    <t xml:space="preserve">X X X X </t>
  </si>
  <si>
    <t>X X X X</t>
  </si>
  <si>
    <r>
      <rPr>
        <b/>
        <sz val="10"/>
        <rFont val="Symbol"/>
        <family val="1"/>
        <charset val="2"/>
      </rPr>
      <t>D</t>
    </r>
    <r>
      <rPr>
        <b/>
        <sz val="10"/>
        <rFont val="Arial"/>
        <family val="2"/>
      </rPr>
      <t>m</t>
    </r>
    <r>
      <rPr>
        <b/>
        <vertAlign val="subscript"/>
        <sz val="10"/>
        <rFont val="Arial"/>
        <family val="2"/>
      </rPr>
      <t>d</t>
    </r>
  </si>
  <si>
    <t>Probe:</t>
  </si>
  <si>
    <t>Analyse:</t>
  </si>
  <si>
    <t>Datum:</t>
  </si>
  <si>
    <t>Bearbeiter:</t>
  </si>
  <si>
    <t>Kornform:</t>
  </si>
  <si>
    <t>Größtkorn:</t>
  </si>
  <si>
    <r>
      <t xml:space="preserve">Hilfswert </t>
    </r>
    <r>
      <rPr>
        <b/>
        <sz val="9"/>
        <rFont val="Arial"/>
        <family val="2"/>
      </rPr>
      <t>R'=(</t>
    </r>
    <r>
      <rPr>
        <b/>
        <sz val="9"/>
        <rFont val="Symbol"/>
        <family val="1"/>
        <charset val="2"/>
      </rPr>
      <t>r</t>
    </r>
    <r>
      <rPr>
        <b/>
        <sz val="9"/>
        <rFont val="Arial"/>
        <family val="2"/>
      </rPr>
      <t>'-1)*10</t>
    </r>
    <r>
      <rPr>
        <b/>
        <vertAlign val="superscript"/>
        <sz val="9"/>
        <rFont val="Arial"/>
        <family val="2"/>
      </rPr>
      <t>3</t>
    </r>
  </si>
  <si>
    <r>
      <t xml:space="preserve">Temperatur      </t>
    </r>
    <r>
      <rPr>
        <b/>
        <sz val="10"/>
        <rFont val="Arial"/>
        <family val="2"/>
      </rPr>
      <t xml:space="preserve">T </t>
    </r>
    <r>
      <rPr>
        <sz val="10"/>
        <rFont val="Arial"/>
        <family val="2"/>
      </rPr>
      <t>[°C]</t>
    </r>
  </si>
  <si>
    <r>
      <t xml:space="preserve">Massenanteil Summenlinie      </t>
    </r>
    <r>
      <rPr>
        <b/>
        <sz val="8"/>
        <rFont val="Arial"/>
        <family val="2"/>
      </rPr>
      <t>a</t>
    </r>
    <r>
      <rPr>
        <b/>
        <vertAlign val="subscript"/>
        <sz val="8"/>
        <rFont val="Arial"/>
        <family val="2"/>
      </rPr>
      <t xml:space="preserve">tot </t>
    </r>
    <r>
      <rPr>
        <b/>
        <sz val="8"/>
        <rFont val="Arial"/>
        <family val="2"/>
      </rPr>
      <t>= (%&lt;0.063mm)/100*a</t>
    </r>
  </si>
  <si>
    <r>
      <t xml:space="preserve">verbesserter Hilfswert      </t>
    </r>
    <r>
      <rPr>
        <b/>
        <sz val="10"/>
        <rFont val="Arial"/>
        <family val="2"/>
      </rPr>
      <t>R=R'+C</t>
    </r>
    <r>
      <rPr>
        <b/>
        <vertAlign val="subscript"/>
        <sz val="10"/>
        <rFont val="Arial"/>
        <family val="2"/>
      </rPr>
      <t>m</t>
    </r>
  </si>
  <si>
    <t>Siebrückstand/ Einzelsieb</t>
  </si>
  <si>
    <t>Masse Sieb</t>
  </si>
  <si>
    <t>Sieb+Rückstand</t>
  </si>
  <si>
    <r>
      <t xml:space="preserve">Trockenmasse </t>
    </r>
    <r>
      <rPr>
        <b/>
        <sz val="10"/>
        <rFont val="Arial"/>
        <family val="2"/>
      </rPr>
      <t>m</t>
    </r>
    <r>
      <rPr>
        <vertAlign val="subscript"/>
        <sz val="10"/>
        <rFont val="Arial"/>
        <family val="2"/>
      </rPr>
      <t xml:space="preserve">d: </t>
    </r>
    <r>
      <rPr>
        <sz val="8"/>
        <rFont val="Arial"/>
        <family val="2"/>
      </rPr>
      <t>(sandig:&lt;=75g, bindig o.S: 30-50g,TA:10-30g)</t>
    </r>
  </si>
  <si>
    <t>Protokoll zur Ermittlung der Korngrößenverteilung durch Sedimentation</t>
  </si>
  <si>
    <r>
      <t xml:space="preserve">Bei kombinierter Siebung/Sedimentation: Arbeit mit zwei Teilproben </t>
    </r>
    <r>
      <rPr>
        <b/>
        <sz val="10"/>
        <rFont val="Arial"/>
        <family val="2"/>
      </rPr>
      <t>A</t>
    </r>
    <r>
      <rPr>
        <sz val="10"/>
        <rFont val="Arial"/>
        <family val="2"/>
      </rPr>
      <t xml:space="preserve"> und </t>
    </r>
    <r>
      <rPr>
        <b/>
        <sz val="10"/>
        <rFont val="Arial"/>
        <family val="2"/>
      </rPr>
      <t>B</t>
    </r>
    <r>
      <rPr>
        <sz val="10"/>
        <rFont val="Arial"/>
        <family val="2"/>
      </rPr>
      <t xml:space="preserve"> ähnlicher Masse</t>
    </r>
  </si>
  <si>
    <r>
      <t xml:space="preserve">Massenanteil Schlämmkorn                </t>
    </r>
    <r>
      <rPr>
        <b/>
        <sz val="10"/>
        <rFont val="Arial"/>
        <family val="2"/>
      </rPr>
      <t>a = f*(R+C</t>
    </r>
    <r>
      <rPr>
        <b/>
        <vertAlign val="subscript"/>
        <sz val="10"/>
        <rFont val="Arial"/>
        <family val="2"/>
      </rPr>
      <t>T</t>
    </r>
    <r>
      <rPr>
        <b/>
        <sz val="10"/>
        <rFont val="Arial"/>
        <family val="2"/>
      </rPr>
      <t>)</t>
    </r>
  </si>
  <si>
    <r>
      <t>m</t>
    </r>
    <r>
      <rPr>
        <b/>
        <vertAlign val="subscript"/>
        <sz val="14"/>
        <rFont val="Arial"/>
        <family val="2"/>
      </rPr>
      <t>d&gt;0.063</t>
    </r>
  </si>
  <si>
    <r>
      <t xml:space="preserve">Trockenmasse </t>
    </r>
    <r>
      <rPr>
        <b/>
        <sz val="14"/>
        <rFont val="Arial"/>
        <family val="2"/>
      </rPr>
      <t>m</t>
    </r>
    <r>
      <rPr>
        <b/>
        <vertAlign val="subscript"/>
        <sz val="14"/>
        <rFont val="Arial"/>
        <family val="2"/>
      </rPr>
      <t>d</t>
    </r>
    <r>
      <rPr>
        <b/>
        <sz val="14"/>
        <rFont val="Arial"/>
        <family val="2"/>
      </rPr>
      <t>[g]/ m</t>
    </r>
    <r>
      <rPr>
        <b/>
        <vertAlign val="subscript"/>
        <sz val="14"/>
        <rFont val="Arial"/>
        <family val="2"/>
      </rPr>
      <t>d,A</t>
    </r>
    <r>
      <rPr>
        <b/>
        <sz val="14"/>
        <rFont val="Arial"/>
        <family val="2"/>
      </rPr>
      <t>:</t>
    </r>
  </si>
  <si>
    <r>
      <t xml:space="preserve">Masse </t>
    </r>
    <r>
      <rPr>
        <b/>
        <sz val="14"/>
        <rFont val="Arial"/>
        <family val="2"/>
      </rPr>
      <t>m/ m</t>
    </r>
    <r>
      <rPr>
        <b/>
        <vertAlign val="subscript"/>
        <sz val="14"/>
        <rFont val="Arial"/>
        <family val="2"/>
      </rPr>
      <t>A</t>
    </r>
    <r>
      <rPr>
        <sz val="10"/>
        <rFont val="Arial"/>
        <family val="2"/>
      </rPr>
      <t>[g]:</t>
    </r>
  </si>
  <si>
    <t>WG(A)</t>
  </si>
  <si>
    <t>für Sedimentation (30g)  min. erf. Feuchtmasse Teilprobe B:</t>
  </si>
  <si>
    <r>
      <rPr>
        <b/>
        <sz val="12"/>
        <rFont val="Symbol"/>
        <family val="1"/>
        <charset val="2"/>
      </rPr>
      <t>r</t>
    </r>
    <r>
      <rPr>
        <sz val="10"/>
        <rFont val="Arial"/>
        <family val="2"/>
      </rPr>
      <t xml:space="preserve">'  </t>
    </r>
  </si>
  <si>
    <r>
      <t xml:space="preserve">Meniskuskorrektur </t>
    </r>
    <r>
      <rPr>
        <b/>
        <sz val="10"/>
        <rFont val="Arial"/>
        <family val="2"/>
      </rPr>
      <t>C</t>
    </r>
    <r>
      <rPr>
        <b/>
        <vertAlign val="subscript"/>
        <sz val="10"/>
        <rFont val="Arial"/>
        <family val="2"/>
      </rPr>
      <t>m</t>
    </r>
    <r>
      <rPr>
        <b/>
        <sz val="10"/>
        <rFont val="Arial"/>
        <family val="2"/>
      </rPr>
      <t>=-(</t>
    </r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>'-1)*10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(25mL DM/L,20°C)</t>
    </r>
  </si>
  <si>
    <t>h</t>
  </si>
  <si>
    <t>Zähigkeit</t>
  </si>
  <si>
    <t>r</t>
  </si>
  <si>
    <r>
      <rPr>
        <b/>
        <sz val="12"/>
        <rFont val="Symbol"/>
        <family val="1"/>
        <charset val="2"/>
      </rPr>
      <t>r</t>
    </r>
    <r>
      <rPr>
        <b/>
        <vertAlign val="subscript"/>
        <sz val="12"/>
        <rFont val="Arial"/>
        <family val="2"/>
      </rPr>
      <t>W</t>
    </r>
  </si>
  <si>
    <r>
      <t>h</t>
    </r>
    <r>
      <rPr>
        <b/>
        <vertAlign val="subscript"/>
        <sz val="12"/>
        <rFont val="Arial"/>
        <family val="2"/>
      </rPr>
      <t>0</t>
    </r>
  </si>
  <si>
    <r>
      <t>h</t>
    </r>
    <r>
      <rPr>
        <b/>
        <vertAlign val="subscript"/>
        <sz val="12"/>
        <rFont val="Symbol"/>
        <family val="1"/>
        <charset val="2"/>
      </rPr>
      <t>r</t>
    </r>
  </si>
  <si>
    <r>
      <t>g/cm</t>
    </r>
    <r>
      <rPr>
        <vertAlign val="superscript"/>
        <sz val="10"/>
        <rFont val="Arial"/>
        <family val="2"/>
      </rPr>
      <t>3</t>
    </r>
  </si>
  <si>
    <t>cm</t>
  </si>
  <si>
    <r>
      <t>V</t>
    </r>
    <r>
      <rPr>
        <b/>
        <vertAlign val="subscript"/>
        <sz val="12"/>
        <rFont val="Arial"/>
        <family val="2"/>
      </rPr>
      <t>A</t>
    </r>
  </si>
  <si>
    <r>
      <t>A</t>
    </r>
    <r>
      <rPr>
        <b/>
        <vertAlign val="subscript"/>
        <sz val="12"/>
        <rFont val="Arial"/>
        <family val="2"/>
      </rPr>
      <t>Z</t>
    </r>
  </si>
  <si>
    <r>
      <t>N*s/m</t>
    </r>
    <r>
      <rPr>
        <vertAlign val="superscript"/>
        <sz val="10"/>
        <rFont val="Arial"/>
        <family val="2"/>
      </rPr>
      <t>2</t>
    </r>
  </si>
  <si>
    <r>
      <t>cm</t>
    </r>
    <r>
      <rPr>
        <vertAlign val="superscript"/>
        <sz val="10"/>
        <rFont val="Arial"/>
        <family val="2"/>
      </rPr>
      <t>3</t>
    </r>
  </si>
  <si>
    <r>
      <t>cm</t>
    </r>
    <r>
      <rPr>
        <vertAlign val="superscript"/>
        <sz val="10"/>
        <rFont val="Arial"/>
        <family val="2"/>
      </rPr>
      <t>2</t>
    </r>
  </si>
  <si>
    <t>Höhe Aräometer bis Ansatz Stengel</t>
  </si>
  <si>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>=1+10</t>
    </r>
    <r>
      <rPr>
        <b/>
        <vertAlign val="superscript"/>
        <sz val="10"/>
        <rFont val="Arial"/>
        <family val="2"/>
      </rPr>
      <t>-3</t>
    </r>
    <r>
      <rPr>
        <b/>
        <sz val="10"/>
        <rFont val="Arial"/>
        <family val="2"/>
      </rPr>
      <t>*R</t>
    </r>
  </si>
  <si>
    <t xml:space="preserve">Sinkge-schwindigkeit </t>
  </si>
  <si>
    <t>Abstand untere Skala-Ablesung</t>
  </si>
  <si>
    <r>
      <rPr>
        <b/>
        <sz val="10"/>
        <rFont val="Arial"/>
        <family val="2"/>
      </rPr>
      <t>h</t>
    </r>
    <r>
      <rPr>
        <b/>
        <vertAlign val="subscript"/>
        <sz val="10"/>
        <rFont val="Arial"/>
        <family val="2"/>
      </rPr>
      <t>S</t>
    </r>
    <r>
      <rPr>
        <sz val="10"/>
        <rFont val="Arial"/>
        <family val="2"/>
      </rPr>
      <t xml:space="preserve"> (cm)</t>
    </r>
  </si>
  <si>
    <t>Dichte Wasser</t>
  </si>
  <si>
    <t>Abstand Ansatz Stengel- untere Skala</t>
  </si>
  <si>
    <r>
      <t>h</t>
    </r>
    <r>
      <rPr>
        <b/>
        <vertAlign val="subscript"/>
        <sz val="8"/>
        <rFont val="Symbol"/>
        <family val="1"/>
        <charset val="2"/>
      </rPr>
      <t xml:space="preserve">r </t>
    </r>
    <r>
      <rPr>
        <b/>
        <sz val="8"/>
        <rFont val="Arial"/>
        <family val="2"/>
      </rPr>
      <t>= h</t>
    </r>
    <r>
      <rPr>
        <b/>
        <vertAlign val="subscript"/>
        <sz val="8"/>
        <rFont val="Arial"/>
        <family val="2"/>
      </rPr>
      <t>s</t>
    </r>
    <r>
      <rPr>
        <b/>
        <sz val="8"/>
        <rFont val="Arial"/>
        <family val="2"/>
      </rPr>
      <t>+h</t>
    </r>
    <r>
      <rPr>
        <b/>
        <vertAlign val="subscript"/>
        <sz val="8"/>
        <rFont val="Arial"/>
        <family val="2"/>
      </rPr>
      <t>0</t>
    </r>
    <r>
      <rPr>
        <b/>
        <sz val="8"/>
        <rFont val="Arial"/>
        <family val="2"/>
      </rPr>
      <t>+0,5(h-V</t>
    </r>
    <r>
      <rPr>
        <b/>
        <vertAlign val="subscript"/>
        <sz val="8"/>
        <rFont val="Arial"/>
        <family val="2"/>
      </rPr>
      <t>A</t>
    </r>
    <r>
      <rPr>
        <b/>
        <sz val="8"/>
        <rFont val="Arial"/>
        <family val="2"/>
      </rPr>
      <t>/A</t>
    </r>
    <r>
      <rPr>
        <b/>
        <vertAlign val="subscript"/>
        <sz val="8"/>
        <rFont val="Arial"/>
        <family val="2"/>
      </rPr>
      <t>z</t>
    </r>
    <r>
      <rPr>
        <b/>
        <sz val="8"/>
        <rFont val="Arial"/>
        <family val="2"/>
      </rPr>
      <t>)</t>
    </r>
  </si>
  <si>
    <t>Aräometer-volumen</t>
  </si>
  <si>
    <t>Querschnitts-fläche Zylinder</t>
  </si>
  <si>
    <r>
      <t xml:space="preserve">Zeit </t>
    </r>
    <r>
      <rPr>
        <b/>
        <sz val="10"/>
        <rFont val="Arial"/>
        <family val="2"/>
      </rPr>
      <t xml:space="preserve"> t</t>
    </r>
  </si>
  <si>
    <t>min</t>
  </si>
  <si>
    <t>s</t>
  </si>
  <si>
    <r>
      <rPr>
        <b/>
        <sz val="12"/>
        <rFont val="Arial"/>
        <family val="2"/>
      </rPr>
      <t>v</t>
    </r>
    <r>
      <rPr>
        <sz val="10"/>
        <rFont val="Arial"/>
        <family val="2"/>
      </rPr>
      <t xml:space="preserve"> (cm/s) = </t>
    </r>
    <r>
      <rPr>
        <b/>
        <sz val="10"/>
        <rFont val="Arial"/>
        <family val="2"/>
      </rPr>
      <t>h</t>
    </r>
    <r>
      <rPr>
        <b/>
        <vertAlign val="subscript"/>
        <sz val="10"/>
        <rFont val="Symbol"/>
        <family val="1"/>
        <charset val="2"/>
      </rPr>
      <t>r</t>
    </r>
    <r>
      <rPr>
        <b/>
        <sz val="10"/>
        <rFont val="Arial"/>
        <family val="2"/>
      </rPr>
      <t>/t</t>
    </r>
  </si>
  <si>
    <r>
      <t xml:space="preserve">Aräometer-ablesung       </t>
    </r>
    <r>
      <rPr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 xml:space="preserve">' </t>
    </r>
  </si>
  <si>
    <r>
      <t xml:space="preserve">Temperatur-verbesserung </t>
    </r>
    <r>
      <rPr>
        <b/>
        <sz val="10"/>
        <color theme="1"/>
        <rFont val="Arial"/>
        <family val="2"/>
      </rPr>
      <t>C</t>
    </r>
    <r>
      <rPr>
        <b/>
        <vertAlign val="subscript"/>
        <sz val="10"/>
        <color theme="1"/>
        <rFont val="Arial"/>
        <family val="2"/>
      </rPr>
      <t>T</t>
    </r>
  </si>
  <si>
    <r>
      <t xml:space="preserve">verbesserter Aräometer-ablesung </t>
    </r>
    <r>
      <rPr>
        <b/>
        <sz val="10"/>
        <color theme="1"/>
        <rFont val="Arial"/>
        <family val="2"/>
      </rPr>
      <t>R+C</t>
    </r>
    <r>
      <rPr>
        <b/>
        <vertAlign val="subscript"/>
        <sz val="10"/>
        <color theme="1"/>
        <rFont val="Arial"/>
        <family val="2"/>
      </rPr>
      <t>T</t>
    </r>
  </si>
  <si>
    <r>
      <t xml:space="preserve">Korndurchmesser  </t>
    </r>
    <r>
      <rPr>
        <b/>
        <sz val="8"/>
        <color rgb="FFFF0000"/>
        <rFont val="Arial"/>
        <family val="2"/>
      </rPr>
      <t>(Gesetz v. Stokes)</t>
    </r>
    <r>
      <rPr>
        <sz val="8"/>
        <rFont val="Arial"/>
        <family val="2"/>
      </rPr>
      <t xml:space="preserve">     </t>
    </r>
    <r>
      <rPr>
        <b/>
        <sz val="10"/>
        <rFont val="Arial"/>
        <family val="2"/>
      </rPr>
      <t xml:space="preserve">d </t>
    </r>
  </si>
  <si>
    <t>mm</t>
  </si>
  <si>
    <r>
      <t>g/cm</t>
    </r>
    <r>
      <rPr>
        <vertAlign val="superscript"/>
        <sz val="8"/>
        <rFont val="Arial"/>
        <family val="2"/>
      </rPr>
      <t>3</t>
    </r>
  </si>
  <si>
    <r>
      <t>Durchmesser Zylinder</t>
    </r>
    <r>
      <rPr>
        <sz val="12"/>
        <rFont val="Arial"/>
        <family val="2"/>
      </rPr>
      <t xml:space="preserve"> </t>
    </r>
    <r>
      <rPr>
        <b/>
        <sz val="12"/>
        <rFont val="Arial"/>
        <family val="2"/>
      </rPr>
      <t>d</t>
    </r>
    <r>
      <rPr>
        <b/>
        <vertAlign val="subscript"/>
        <sz val="12"/>
        <rFont val="Arial"/>
        <family val="2"/>
      </rPr>
      <t>z</t>
    </r>
    <r>
      <rPr>
        <sz val="10"/>
        <rFont val="Arial"/>
        <family val="2"/>
      </rPr>
      <t xml:space="preserve"> (cm): (Z1: 5,88 cm, Z2: 6,02 cm):</t>
    </r>
  </si>
  <si>
    <r>
      <t xml:space="preserve">Zeit </t>
    </r>
    <r>
      <rPr>
        <b/>
        <sz val="10"/>
        <rFont val="Arial"/>
        <family val="2"/>
      </rPr>
      <t xml:space="preserve"> t </t>
    </r>
    <r>
      <rPr>
        <sz val="10"/>
        <rFont val="Arial"/>
        <family val="2"/>
      </rPr>
      <t>[min]</t>
    </r>
  </si>
  <si>
    <r>
      <t xml:space="preserve">Aräometer-ablesung       </t>
    </r>
    <r>
      <rPr>
        <sz val="10"/>
        <rFont val="Arial"/>
        <family val="2"/>
      </rPr>
      <t xml:space="preserve"> </t>
    </r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 xml:space="preserve">' </t>
    </r>
    <r>
      <rPr>
        <sz val="10"/>
        <rFont val="Arial"/>
        <family val="2"/>
      </rPr>
      <t>[g/cm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</si>
  <si>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Temperatur-verbesserung </t>
    </r>
    <r>
      <rPr>
        <b/>
        <sz val="10"/>
        <rFont val="Arial"/>
        <family val="2"/>
      </rPr>
      <t>C</t>
    </r>
    <r>
      <rPr>
        <b/>
        <vertAlign val="subscript"/>
        <sz val="10"/>
        <rFont val="Arial"/>
        <family val="2"/>
      </rPr>
      <t>T</t>
    </r>
  </si>
  <si>
    <r>
      <t xml:space="preserve">verbesserter Aräometer-ablesung </t>
    </r>
    <r>
      <rPr>
        <b/>
        <sz val="10"/>
        <rFont val="Arial"/>
        <family val="2"/>
      </rPr>
      <t>R+C</t>
    </r>
    <r>
      <rPr>
        <b/>
        <vertAlign val="subscript"/>
        <sz val="10"/>
        <rFont val="Arial"/>
        <family val="2"/>
      </rPr>
      <t>T</t>
    </r>
  </si>
  <si>
    <r>
      <t xml:space="preserve">Korndurchmesser  </t>
    </r>
    <r>
      <rPr>
        <b/>
        <sz val="8"/>
        <color rgb="FFFF0000"/>
        <rFont val="Arial"/>
        <family val="2"/>
      </rPr>
      <t>(Nomogramm)</t>
    </r>
    <r>
      <rPr>
        <sz val="8"/>
        <rFont val="Arial"/>
        <family val="2"/>
      </rPr>
      <t xml:space="preserve">     </t>
    </r>
    <r>
      <rPr>
        <b/>
        <sz val="10"/>
        <rFont val="Arial"/>
        <family val="2"/>
      </rPr>
      <t>d</t>
    </r>
  </si>
  <si>
    <t>Dietze 75</t>
  </si>
  <si>
    <t>30s</t>
  </si>
  <si>
    <t>X</t>
  </si>
  <si>
    <t>Fenger</t>
  </si>
  <si>
    <t>Nasssiebung</t>
  </si>
  <si>
    <t>40 mm</t>
  </si>
  <si>
    <r>
      <t xml:space="preserve">Trockenmasse </t>
    </r>
    <r>
      <rPr>
        <b/>
        <sz val="10"/>
        <rFont val="Arial"/>
        <family val="2"/>
      </rPr>
      <t>m</t>
    </r>
    <r>
      <rPr>
        <b/>
        <vertAlign val="subscript"/>
        <sz val="10"/>
        <rFont val="Arial"/>
        <family val="2"/>
      </rPr>
      <t>d</t>
    </r>
    <r>
      <rPr>
        <vertAlign val="subscript"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[g] / </t>
    </r>
    <r>
      <rPr>
        <b/>
        <sz val="10"/>
        <rFont val="Symbol"/>
        <family val="1"/>
        <charset val="2"/>
      </rPr>
      <t>S</t>
    </r>
    <r>
      <rPr>
        <b/>
        <sz val="10"/>
        <rFont val="Arial"/>
        <family val="2"/>
      </rPr>
      <t xml:space="preserve"> m</t>
    </r>
    <r>
      <rPr>
        <b/>
        <vertAlign val="subscript"/>
        <sz val="10"/>
        <rFont val="Arial"/>
        <family val="2"/>
      </rPr>
      <t>d,A</t>
    </r>
    <r>
      <rPr>
        <sz val="10"/>
        <rFont val="Arial"/>
        <family val="2"/>
      </rPr>
      <t>:</t>
    </r>
  </si>
  <si>
    <t>2h</t>
  </si>
  <si>
    <t>6h</t>
  </si>
  <si>
    <t>24h</t>
  </si>
  <si>
    <t>Dispergierungsmittel (DM):</t>
  </si>
  <si>
    <r>
      <t>g Na</t>
    </r>
    <r>
      <rPr>
        <vertAlign val="subscript"/>
        <sz val="7"/>
        <rFont val="Arial"/>
        <family val="2"/>
      </rPr>
      <t>4</t>
    </r>
    <r>
      <rPr>
        <sz val="7"/>
        <rFont val="Arial"/>
        <family val="2"/>
      </rPr>
      <t>P</t>
    </r>
    <r>
      <rPr>
        <vertAlign val="subscript"/>
        <sz val="7"/>
        <rFont val="Arial"/>
        <family val="2"/>
      </rPr>
      <t>2</t>
    </r>
    <r>
      <rPr>
        <sz val="7"/>
        <rFont val="Arial"/>
        <family val="2"/>
      </rPr>
      <t>O</t>
    </r>
    <r>
      <rPr>
        <vertAlign val="subscript"/>
        <sz val="7"/>
        <rFont val="Arial"/>
        <family val="2"/>
      </rPr>
      <t>7</t>
    </r>
    <r>
      <rPr>
        <sz val="7"/>
        <rFont val="Arial"/>
        <family val="2"/>
      </rPr>
      <t>*10H</t>
    </r>
    <r>
      <rPr>
        <vertAlign val="subscript"/>
        <sz val="7"/>
        <rFont val="Arial"/>
        <family val="2"/>
      </rPr>
      <t>2</t>
    </r>
    <r>
      <rPr>
        <sz val="7"/>
        <rFont val="Arial"/>
        <family val="2"/>
      </rPr>
      <t>O</t>
    </r>
  </si>
  <si>
    <r>
      <t xml:space="preserve">Meniskuskorrektur </t>
    </r>
    <r>
      <rPr>
        <b/>
        <sz val="10"/>
        <rFont val="Arial"/>
        <family val="2"/>
      </rPr>
      <t>C</t>
    </r>
    <r>
      <rPr>
        <b/>
        <vertAlign val="subscript"/>
        <sz val="10"/>
        <rFont val="Arial"/>
        <family val="2"/>
      </rPr>
      <t>m</t>
    </r>
    <r>
      <rPr>
        <b/>
        <sz val="10"/>
        <rFont val="Arial"/>
        <family val="2"/>
      </rPr>
      <t xml:space="preserve"> = -(</t>
    </r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>'-1)*10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(25mL DM/L,20°C)</t>
    </r>
  </si>
  <si>
    <t>Dietze 122</t>
  </si>
  <si>
    <t>30 mm</t>
  </si>
  <si>
    <t>Sand-Kies-Gemisch?</t>
  </si>
  <si>
    <t>rund-eckig</t>
  </si>
  <si>
    <t>Nassiebung</t>
  </si>
  <si>
    <t>Fenger/Burghardt</t>
  </si>
  <si>
    <t>Dietze_129</t>
  </si>
  <si>
    <t>d60/d10</t>
  </si>
  <si>
    <t>d60</t>
  </si>
  <si>
    <t>d10</t>
  </si>
  <si>
    <t>GW Temp</t>
  </si>
  <si>
    <t>C</t>
  </si>
  <si>
    <t>K Hazen</t>
  </si>
  <si>
    <t>K Zieschang</t>
  </si>
  <si>
    <t>Graphisch</t>
  </si>
  <si>
    <t>Tabelle</t>
  </si>
  <si>
    <t>0.6&gt;d10</t>
  </si>
  <si>
    <t>0.06&lt;d10</t>
  </si>
  <si>
    <t>1&lt;U</t>
  </si>
  <si>
    <t>20&lt;U</t>
  </si>
  <si>
    <t>U</t>
  </si>
  <si>
    <t>K Beyer</t>
  </si>
  <si>
    <t>K Mittel:</t>
  </si>
  <si>
    <t>Probe</t>
  </si>
  <si>
    <t>Liner:</t>
  </si>
  <si>
    <t>Tiefe [m u GOK]</t>
  </si>
  <si>
    <t>kiesig-sandig</t>
  </si>
  <si>
    <t>P21</t>
  </si>
  <si>
    <t>rund</t>
  </si>
  <si>
    <t>sandig</t>
  </si>
  <si>
    <r>
      <t>Meniskuskorrektur</t>
    </r>
    <r>
      <rPr>
        <b/>
        <sz val="14"/>
        <rFont val="Arial"/>
        <family val="2"/>
      </rPr>
      <t xml:space="preserve"> </t>
    </r>
    <r>
      <rPr>
        <b/>
        <sz val="14"/>
        <rFont val="Symbol"/>
        <family val="1"/>
        <charset val="2"/>
      </rPr>
      <t>r</t>
    </r>
    <r>
      <rPr>
        <b/>
        <sz val="14"/>
        <rFont val="Arial"/>
        <family val="2"/>
      </rPr>
      <t>'</t>
    </r>
    <r>
      <rPr>
        <sz val="10"/>
        <rFont val="Arial"/>
        <family val="2"/>
      </rPr>
      <t xml:space="preserve">  --&gt; </t>
    </r>
    <r>
      <rPr>
        <b/>
        <sz val="10"/>
        <rFont val="Arial"/>
        <family val="2"/>
      </rPr>
      <t>C</t>
    </r>
    <r>
      <rPr>
        <b/>
        <vertAlign val="subscript"/>
        <sz val="10"/>
        <rFont val="Arial"/>
        <family val="2"/>
      </rPr>
      <t>m</t>
    </r>
    <r>
      <rPr>
        <b/>
        <sz val="10"/>
        <rFont val="Arial"/>
        <family val="2"/>
      </rPr>
      <t xml:space="preserve"> = -(</t>
    </r>
    <r>
      <rPr>
        <b/>
        <sz val="10"/>
        <rFont val="Symbol"/>
        <family val="1"/>
        <charset val="2"/>
      </rPr>
      <t>r</t>
    </r>
    <r>
      <rPr>
        <b/>
        <sz val="10"/>
        <rFont val="Arial"/>
        <family val="2"/>
      </rPr>
      <t>'-1)*10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(25mL DM/L,20°C)</t>
    </r>
  </si>
  <si>
    <t>Daten Trockensiebung (Dezember 08, Fenger)</t>
  </si>
  <si>
    <r>
      <t xml:space="preserve">&lt; </t>
    </r>
    <r>
      <rPr>
        <sz val="10"/>
        <rFont val="Times New Roman"/>
        <family val="1"/>
      </rPr>
      <t>0,063</t>
    </r>
  </si>
  <si>
    <t>P34</t>
  </si>
  <si>
    <t>sandig-kiesig</t>
  </si>
  <si>
    <t>2/.3.02.2009</t>
  </si>
  <si>
    <t>eckig-rund</t>
  </si>
  <si>
    <t>eckig</t>
  </si>
  <si>
    <t>105a</t>
  </si>
  <si>
    <t>ecgig</t>
  </si>
  <si>
    <t>kiesig</t>
  </si>
  <si>
    <t>Dietze112_2</t>
  </si>
  <si>
    <t>Nasssiebung mit folg. Maschienensiebung (tr.)</t>
  </si>
  <si>
    <t>Messpunkt</t>
  </si>
  <si>
    <t>PN Falsch??</t>
  </si>
  <si>
    <t>Nass-Trocken</t>
  </si>
  <si>
    <t>N</t>
  </si>
  <si>
    <t>G15 L4</t>
  </si>
  <si>
    <t>Tiefe MITTE</t>
  </si>
  <si>
    <t>G15 L5</t>
  </si>
  <si>
    <t>G15 L8</t>
  </si>
  <si>
    <t>G3 L3</t>
  </si>
  <si>
    <t>G3 L4</t>
  </si>
  <si>
    <t>G3 L5</t>
  </si>
  <si>
    <t>G3 L6</t>
  </si>
  <si>
    <t>G17 L3</t>
  </si>
  <si>
    <t>G17 L4</t>
  </si>
  <si>
    <t>G17 Rest PA</t>
  </si>
  <si>
    <t>7.1-7.32</t>
  </si>
  <si>
    <t>G19 L2</t>
  </si>
  <si>
    <t>G19 L3</t>
  </si>
  <si>
    <t>G5 L2</t>
  </si>
  <si>
    <t>G2 L2</t>
  </si>
  <si>
    <t>Sand</t>
  </si>
  <si>
    <t>flach</t>
  </si>
  <si>
    <t>Trockensiebung</t>
  </si>
  <si>
    <t>fenger</t>
  </si>
  <si>
    <t>107?</t>
  </si>
  <si>
    <t>T +Sedim.</t>
  </si>
  <si>
    <t>G19L4</t>
  </si>
  <si>
    <t>G3L2</t>
  </si>
  <si>
    <t>G15L1</t>
  </si>
  <si>
    <t>G5L3</t>
  </si>
  <si>
    <t>G19L2</t>
  </si>
  <si>
    <t>G3L4</t>
  </si>
  <si>
    <t>G15L8</t>
  </si>
  <si>
    <t>G15L9</t>
  </si>
  <si>
    <t>G15L10</t>
  </si>
  <si>
    <t>95?</t>
  </si>
  <si>
    <t>G15L6</t>
  </si>
  <si>
    <t>G15L11</t>
  </si>
  <si>
    <t>01,01.2009</t>
  </si>
  <si>
    <t>G15L7</t>
  </si>
  <si>
    <t>G15L5</t>
  </si>
  <si>
    <t>Kies-Sand</t>
  </si>
  <si>
    <t>G3L3</t>
  </si>
  <si>
    <t>Schluff</t>
  </si>
  <si>
    <t>G3L5</t>
  </si>
  <si>
    <t>Trocken</t>
  </si>
  <si>
    <t>G11L2</t>
  </si>
  <si>
    <t>G11L3</t>
  </si>
  <si>
    <t>G11L4</t>
  </si>
  <si>
    <t>G13L2</t>
  </si>
  <si>
    <t>G13L3</t>
  </si>
  <si>
    <t>G2L2</t>
  </si>
  <si>
    <t>G2L3</t>
  </si>
  <si>
    <t>G2L4</t>
  </si>
  <si>
    <t>G2L5</t>
  </si>
  <si>
    <t>G2L6</t>
  </si>
  <si>
    <t>G5L1</t>
  </si>
  <si>
    <t>G5L2</t>
  </si>
  <si>
    <t>G1L2</t>
  </si>
  <si>
    <t>G1L3</t>
  </si>
  <si>
    <t>G1L4</t>
  </si>
  <si>
    <t>G1L5</t>
  </si>
  <si>
    <t>G1L6</t>
  </si>
  <si>
    <t>2.43-2.8</t>
  </si>
  <si>
    <t>G5L4</t>
  </si>
  <si>
    <t>G5L5</t>
  </si>
  <si>
    <t>G5L6</t>
  </si>
  <si>
    <t>G15L2</t>
  </si>
  <si>
    <t>G15L3</t>
  </si>
  <si>
    <t>Degenhardt</t>
  </si>
  <si>
    <t>Fenger/Heidt</t>
  </si>
  <si>
    <t>6.3-6.6</t>
  </si>
  <si>
    <t>6.6-6.9</t>
  </si>
  <si>
    <t>G17L3</t>
  </si>
  <si>
    <t>2.4-2.7</t>
  </si>
  <si>
    <t>4.0-4.4</t>
  </si>
  <si>
    <t>G17L4</t>
  </si>
  <si>
    <t>2.7-3.0</t>
  </si>
  <si>
    <t>rund/eckig</t>
  </si>
  <si>
    <t>sandig/kiesig</t>
  </si>
  <si>
    <t>5.4-5.7</t>
  </si>
  <si>
    <t>4.4-4.8</t>
  </si>
  <si>
    <t>3.3-3.6</t>
  </si>
  <si>
    <t>5.1-5.4</t>
  </si>
  <si>
    <t>4.8-5.1</t>
  </si>
  <si>
    <t>3.0-3.3</t>
  </si>
  <si>
    <t>4.5-4.8</t>
  </si>
  <si>
    <t>3.9-4.2</t>
  </si>
  <si>
    <t>3.6-3.9</t>
  </si>
  <si>
    <t>1.6-2.0</t>
  </si>
  <si>
    <t>1.2-1.5</t>
  </si>
  <si>
    <t>9.0-9.3</t>
  </si>
  <si>
    <t>9.3-9.6</t>
  </si>
  <si>
    <t>Liner ausgew. 9.9-10.5</t>
  </si>
  <si>
    <t>Liner ausgew. 10.5-11.1</t>
  </si>
  <si>
    <t>6.9-7.2</t>
  </si>
  <si>
    <t>lehmig</t>
  </si>
  <si>
    <t>7.5-7.8</t>
  </si>
  <si>
    <t>G15L4</t>
  </si>
  <si>
    <t>4.2-4.5</t>
  </si>
  <si>
    <t>G17L7</t>
  </si>
  <si>
    <t>8.1-8.4</t>
  </si>
  <si>
    <t>0.6-0.9</t>
  </si>
  <si>
    <t>8.7-9.0</t>
  </si>
  <si>
    <t>7.2-7.5</t>
  </si>
  <si>
    <t>3.2-3.6</t>
  </si>
  <si>
    <t>5.7-6.0</t>
  </si>
  <si>
    <t>8.4-8.7</t>
  </si>
  <si>
    <t xml:space="preserve">  1.21-1.41</t>
  </si>
  <si>
    <t xml:space="preserve">  1.57-2.42</t>
  </si>
  <si>
    <t xml:space="preserve">  2.42-3.63</t>
  </si>
  <si>
    <t xml:space="preserve">  3.63-4.24</t>
  </si>
  <si>
    <t xml:space="preserve">  4.24-4.34</t>
  </si>
  <si>
    <t xml:space="preserve">  2.42-2.66</t>
  </si>
  <si>
    <t xml:space="preserve">  2.66-2.96</t>
  </si>
  <si>
    <t xml:space="preserve">  2.96-3.26</t>
  </si>
  <si>
    <t xml:space="preserve">  3.26-3.63</t>
  </si>
  <si>
    <t xml:space="preserve">  3.63-4.48</t>
  </si>
  <si>
    <t xml:space="preserve">  4.48-4.64</t>
  </si>
  <si>
    <t xml:space="preserve">  1.41-1.92</t>
  </si>
  <si>
    <t xml:space="preserve">  2.42-3.21</t>
  </si>
  <si>
    <t xml:space="preserve">  3.21-3.63</t>
  </si>
  <si>
    <t xml:space="preserve">  3.63-4.37</t>
  </si>
  <si>
    <t xml:space="preserve">  4.37-4.84</t>
  </si>
  <si>
    <t xml:space="preserve">  4.99-6.05</t>
  </si>
  <si>
    <t xml:space="preserve">  6.05-7.15</t>
  </si>
  <si>
    <t xml:space="preserve">  7.15-7.26</t>
  </si>
  <si>
    <t xml:space="preserve">  0.22-0.56</t>
  </si>
  <si>
    <t xml:space="preserve">  0.56-0.79</t>
  </si>
  <si>
    <t xml:space="preserve">  0.79-1.03</t>
  </si>
  <si>
    <t xml:space="preserve">  1.03-1.21</t>
  </si>
  <si>
    <t xml:space="preserve">  1.4-1.93</t>
  </si>
  <si>
    <t xml:space="preserve">  1.54-1.78</t>
  </si>
  <si>
    <t xml:space="preserve">  1.78-2.43</t>
  </si>
  <si>
    <t xml:space="preserve">  2.43-2.64</t>
  </si>
  <si>
    <t xml:space="preserve">  2.67-2.75</t>
  </si>
  <si>
    <t xml:space="preserve">  2.75-3.25</t>
  </si>
  <si>
    <t xml:space="preserve">  3.25-3.64</t>
  </si>
  <si>
    <t xml:space="preserve">  3.84-4.85</t>
  </si>
  <si>
    <t xml:space="preserve">  4.85-6.06</t>
  </si>
  <si>
    <t xml:space="preserve">  6.06-7.27</t>
  </si>
  <si>
    <t xml:space="preserve">  2.8-3.0</t>
  </si>
  <si>
    <t xml:space="preserve">  3.0-3.28</t>
  </si>
  <si>
    <t xml:space="preserve">  3.28-3.64</t>
  </si>
  <si>
    <t xml:space="preserve">  3.64-4.69</t>
  </si>
  <si>
    <t xml:space="preserve">  4.69-4.78</t>
  </si>
  <si>
    <t xml:space="preserve">  4.78-4.85</t>
  </si>
  <si>
    <t xml:space="preserve">  4.85-4.97</t>
  </si>
  <si>
    <t xml:space="preserve">  4.97-6.06</t>
  </si>
  <si>
    <t xml:space="preserve">  6.0-6.8</t>
  </si>
  <si>
    <t xml:space="preserve">  0.0-0.3</t>
  </si>
  <si>
    <t xml:space="preserve">  0.3-0.6</t>
  </si>
  <si>
    <t xml:space="preserve">  1.5-1.8</t>
  </si>
  <si>
    <t xml:space="preserve">  1.8-2.1</t>
  </si>
  <si>
    <t xml:space="preserve">  2.1-2.4</t>
  </si>
  <si>
    <t xml:space="preserve">  2.4-2.7</t>
  </si>
  <si>
    <t xml:space="preserve">  2.7-3.0</t>
  </si>
  <si>
    <t xml:space="preserve">  3.0-3.3</t>
  </si>
  <si>
    <t xml:space="preserve">  3.3-3.6</t>
  </si>
  <si>
    <t xml:space="preserve">  0.9-1.2</t>
  </si>
  <si>
    <t xml:space="preserve">  1.2-1.5</t>
  </si>
  <si>
    <t xml:space="preserve">  1.41-1.57</t>
  </si>
  <si>
    <t>7.32-7.65</t>
  </si>
  <si>
    <t>?7.47 unklar</t>
  </si>
  <si>
    <t>Tiefe</t>
  </si>
  <si>
    <t>12.19-12.49 Liner ausgewaschen</t>
  </si>
  <si>
    <t>12.49-12.8 Liner ausgewaschen</t>
  </si>
  <si>
    <t>rund-flach</t>
  </si>
  <si>
    <t>Tab</t>
  </si>
  <si>
    <t>6.0-6.3</t>
  </si>
  <si>
    <t>G3L6</t>
  </si>
  <si>
    <t>2.0-2.4</t>
  </si>
  <si>
    <t>G13L4(2)</t>
  </si>
  <si>
    <t>G13L4(vgl u.)</t>
  </si>
  <si>
    <t>2.4-2.8</t>
  </si>
  <si>
    <t>G19L3</t>
  </si>
  <si>
    <t>1.2-1.6</t>
  </si>
  <si>
    <t>3.6-4.0</t>
  </si>
  <si>
    <t>Liner ausgew. 11.1-12.2</t>
  </si>
  <si>
    <t>geänderte Werte Q4 bis S12</t>
  </si>
  <si>
    <t>G6 vorher</t>
  </si>
  <si>
    <t>&lt;0.06</t>
  </si>
  <si>
    <t>K Beyer Tab</t>
  </si>
  <si>
    <t>K Beyer Graphisch</t>
  </si>
  <si>
    <t>vorher G6:</t>
  </si>
  <si>
    <t>vorher C26:</t>
  </si>
  <si>
    <t>9.6-9.9</t>
  </si>
  <si>
    <t>1.93-2.42</t>
  </si>
  <si>
    <t>1.92-2.42</t>
  </si>
  <si>
    <t>wittmann</t>
  </si>
  <si>
    <t>Wittmann</t>
  </si>
  <si>
    <t>Beyer</t>
  </si>
  <si>
    <t>beyer</t>
  </si>
  <si>
    <t>Beyer/USRB</t>
  </si>
  <si>
    <t>USRB</t>
  </si>
  <si>
    <t>Beyer/USBR</t>
  </si>
  <si>
    <t>USBR</t>
  </si>
  <si>
    <t>d20</t>
  </si>
  <si>
    <t>dw</t>
  </si>
  <si>
    <t>geändert</t>
  </si>
  <si>
    <t>Summe</t>
  </si>
  <si>
    <t>geänd.</t>
  </si>
  <si>
    <t>Auswertung UK32 mit Schlämmkorn nicht möglich</t>
  </si>
  <si>
    <t>nur Siebkornauswertung</t>
  </si>
  <si>
    <t>K Hazen besser</t>
  </si>
  <si>
    <t>eckig/rund</t>
  </si>
  <si>
    <t>Nasssiebund</t>
  </si>
  <si>
    <t>xls</t>
  </si>
  <si>
    <t>glatt</t>
  </si>
  <si>
    <t>BeyUSRB</t>
  </si>
  <si>
    <t>beyUSRB</t>
  </si>
  <si>
    <t>M2L2</t>
  </si>
  <si>
    <t>M2L3</t>
  </si>
  <si>
    <t>M5L1</t>
  </si>
  <si>
    <t>M5L2</t>
  </si>
  <si>
    <t>M5L3</t>
  </si>
  <si>
    <t>M5L4</t>
  </si>
  <si>
    <t>M21L1</t>
  </si>
  <si>
    <t>M21L2</t>
  </si>
  <si>
    <t>M21L3</t>
  </si>
  <si>
    <t>M21L4</t>
  </si>
  <si>
    <t>M12L1</t>
  </si>
  <si>
    <t>M12L2</t>
  </si>
  <si>
    <t>M12L3</t>
  </si>
  <si>
    <t>M12L4</t>
  </si>
  <si>
    <t xml:space="preserve"> </t>
  </si>
  <si>
    <t>beyerUSRB</t>
  </si>
  <si>
    <t>1.22-1.63</t>
  </si>
  <si>
    <t>1.63-2.03</t>
  </si>
  <si>
    <t>2.03-2.44</t>
  </si>
  <si>
    <t>2.44-2.75</t>
  </si>
  <si>
    <t>2.75-3.05</t>
  </si>
  <si>
    <t>3.05-3.36</t>
  </si>
  <si>
    <t>0-0.31</t>
  </si>
  <si>
    <t>3.36-3.66</t>
  </si>
  <si>
    <t>0.61-0.92</t>
  </si>
  <si>
    <t>0.92-1.22</t>
  </si>
  <si>
    <t>1.22-1.53</t>
  </si>
  <si>
    <t>1.53-1.83</t>
  </si>
  <si>
    <t>1.83-2.14</t>
  </si>
  <si>
    <t>2.14-2.44</t>
  </si>
  <si>
    <t>3.66-3.97</t>
  </si>
  <si>
    <t>3.97-4.27</t>
  </si>
  <si>
    <t>4.27-4.58</t>
  </si>
  <si>
    <t>4.58-4.88</t>
  </si>
  <si>
    <t>0.31-0.61</t>
  </si>
  <si>
    <t>M12L6</t>
  </si>
  <si>
    <t>M12L7</t>
  </si>
  <si>
    <t>6.1-6.41</t>
  </si>
  <si>
    <t>6.41-6.71</t>
  </si>
  <si>
    <t>6.71-7.02</t>
  </si>
  <si>
    <t>7.02-7.32</t>
  </si>
  <si>
    <t>7.32-7.63</t>
  </si>
  <si>
    <t>7.63-7.93</t>
  </si>
  <si>
    <t>7.93-8.24</t>
  </si>
  <si>
    <t>8.24-8.54</t>
  </si>
  <si>
    <t>Mischprobe L 2 1.2-2.4</t>
  </si>
  <si>
    <t xml:space="preserve">Proben Nr.  </t>
  </si>
  <si>
    <t>K Average</t>
  </si>
  <si>
    <t>K Permeameter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</si>
</sst>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"/>
    <numFmt numFmtId="165" formatCode="0.0"/>
    <numFmt numFmtId="166" formatCode="0.000"/>
    <numFmt numFmtId="167" formatCode="0.00000"/>
  </numFmts>
  <fonts count="47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vertAlign val="subscript"/>
      <sz val="10"/>
      <name val="Arial"/>
      <family val="2"/>
    </font>
    <font>
      <vertAlign val="subscript"/>
      <sz val="10"/>
      <name val="Arial"/>
      <family val="2"/>
    </font>
    <font>
      <vertAlign val="superscript"/>
      <sz val="10"/>
      <name val="Arial"/>
      <family val="2"/>
    </font>
    <font>
      <sz val="10"/>
      <name val="Symbol"/>
      <family val="1"/>
      <charset val="2"/>
    </font>
    <font>
      <b/>
      <sz val="10"/>
      <name val="Symbol"/>
      <family val="1"/>
      <charset val="2"/>
    </font>
    <font>
      <sz val="10"/>
      <color indexed="10"/>
      <name val="Arial"/>
      <family val="2"/>
    </font>
    <font>
      <sz val="6"/>
      <color indexed="10"/>
      <name val="Arial"/>
      <family val="2"/>
    </font>
    <font>
      <sz val="8"/>
      <name val="Arial"/>
      <family val="2"/>
    </font>
    <font>
      <sz val="10"/>
      <color theme="0" tint="-0.34998626667073579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8"/>
      <name val="Arial"/>
      <family val="2"/>
    </font>
    <font>
      <b/>
      <vertAlign val="subscript"/>
      <sz val="8"/>
      <name val="Arial"/>
      <family val="2"/>
    </font>
    <font>
      <b/>
      <vertAlign val="superscript"/>
      <sz val="10"/>
      <name val="Arial"/>
      <family val="2"/>
    </font>
    <font>
      <b/>
      <sz val="9"/>
      <name val="Arial"/>
      <family val="2"/>
    </font>
    <font>
      <b/>
      <sz val="9"/>
      <name val="Symbol"/>
      <family val="1"/>
      <charset val="2"/>
    </font>
    <font>
      <b/>
      <vertAlign val="superscript"/>
      <sz val="9"/>
      <name val="Arial"/>
      <family val="2"/>
    </font>
    <font>
      <b/>
      <sz val="8"/>
      <color rgb="FFFF000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u/>
      <sz val="12"/>
      <color indexed="81"/>
      <name val="Tahoma"/>
      <family val="2"/>
    </font>
    <font>
      <b/>
      <sz val="14"/>
      <name val="Arial"/>
      <family val="2"/>
    </font>
    <font>
      <b/>
      <vertAlign val="subscript"/>
      <sz val="14"/>
      <name val="Arial"/>
      <family val="2"/>
    </font>
    <font>
      <b/>
      <sz val="10"/>
      <color theme="1"/>
      <name val="Arial"/>
      <family val="2"/>
    </font>
    <font>
      <sz val="16"/>
      <color indexed="81"/>
      <name val="Tahoma"/>
      <family val="2"/>
    </font>
    <font>
      <b/>
      <sz val="12"/>
      <name val="Symbol"/>
      <family val="1"/>
      <charset val="2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vertAlign val="subscript"/>
      <sz val="12"/>
      <name val="Symbol"/>
      <family val="1"/>
      <charset val="2"/>
    </font>
    <font>
      <b/>
      <vertAlign val="subscript"/>
      <sz val="8"/>
      <name val="Symbol"/>
      <family val="1"/>
      <charset val="2"/>
    </font>
    <font>
      <b/>
      <vertAlign val="subscript"/>
      <sz val="10"/>
      <name val="Symbol"/>
      <family val="1"/>
      <charset val="2"/>
    </font>
    <font>
      <sz val="8"/>
      <color theme="1"/>
      <name val="Arial"/>
      <family val="2"/>
    </font>
    <font>
      <b/>
      <vertAlign val="subscript"/>
      <sz val="10"/>
      <color theme="1"/>
      <name val="Arial"/>
      <family val="2"/>
    </font>
    <font>
      <vertAlign val="superscript"/>
      <sz val="8"/>
      <name val="Arial"/>
      <family val="2"/>
    </font>
    <font>
      <sz val="12"/>
      <name val="Arial"/>
      <family val="2"/>
    </font>
    <font>
      <sz val="7"/>
      <name val="Arial"/>
      <family val="2"/>
    </font>
    <font>
      <vertAlign val="subscript"/>
      <sz val="7"/>
      <name val="Arial"/>
      <family val="2"/>
    </font>
    <font>
      <sz val="10"/>
      <color rgb="FFFF0000"/>
      <name val="Arial"/>
      <family val="2"/>
    </font>
    <font>
      <b/>
      <sz val="14"/>
      <name val="Symbol"/>
      <family val="1"/>
      <charset val="2"/>
    </font>
    <font>
      <sz val="10"/>
      <name val="Times New Roman"/>
      <family val="1"/>
    </font>
    <font>
      <sz val="10"/>
      <color indexed="12"/>
      <name val="Times New Roman"/>
      <family val="1"/>
    </font>
    <font>
      <sz val="10"/>
      <color indexed="12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023">
    <xf numFmtId="0" fontId="0" fillId="0" borderId="0" xfId="0"/>
    <xf numFmtId="0" fontId="1" fillId="0" borderId="0" xfId="0" applyFont="1" applyFill="1" applyAlignment="1">
      <alignment horizontal="center"/>
    </xf>
    <xf numFmtId="165" fontId="0" fillId="0" borderId="2" xfId="0" applyNumberForma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165" fontId="0" fillId="0" borderId="1" xfId="0" applyNumberFormat="1" applyBorder="1" applyAlignment="1">
      <alignment horizontal="right"/>
    </xf>
    <xf numFmtId="165" fontId="1" fillId="0" borderId="5" xfId="0" applyNumberFormat="1" applyFont="1" applyBorder="1" applyAlignment="1">
      <alignment horizontal="right" vertical="center"/>
    </xf>
    <xf numFmtId="165" fontId="1" fillId="0" borderId="5" xfId="0" applyNumberFormat="1" applyFont="1" applyBorder="1" applyAlignment="1">
      <alignment horizontal="right"/>
    </xf>
    <xf numFmtId="165" fontId="0" fillId="0" borderId="8" xfId="0" applyNumberFormat="1" applyBorder="1" applyAlignment="1">
      <alignment horizontal="right"/>
    </xf>
    <xf numFmtId="165" fontId="1" fillId="0" borderId="9" xfId="0" applyNumberFormat="1" applyFont="1" applyBorder="1" applyAlignment="1">
      <alignment horizontal="right"/>
    </xf>
    <xf numFmtId="0" fontId="0" fillId="0" borderId="0" xfId="0" applyBorder="1" applyAlignment="1">
      <alignment horizontal="right" vertical="center"/>
    </xf>
    <xf numFmtId="165" fontId="8" fillId="0" borderId="0" xfId="0" applyNumberFormat="1" applyFont="1" applyBorder="1" applyAlignment="1">
      <alignment horizontal="right" vertical="center"/>
    </xf>
    <xf numFmtId="0" fontId="1" fillId="3" borderId="12" xfId="0" applyFont="1" applyFill="1" applyBorder="1" applyAlignment="1">
      <alignment horizontal="right" vertical="center" wrapText="1"/>
    </xf>
    <xf numFmtId="0" fontId="0" fillId="0" borderId="0" xfId="0" applyBorder="1"/>
    <xf numFmtId="0" fontId="1" fillId="0" borderId="22" xfId="0" applyFont="1" applyBorder="1" applyAlignment="1">
      <alignment horizontal="right" vertical="center"/>
    </xf>
    <xf numFmtId="0" fontId="9" fillId="0" borderId="0" xfId="0" applyFont="1" applyBorder="1" applyAlignment="1">
      <alignment horizontal="right" vertical="center"/>
    </xf>
    <xf numFmtId="0" fontId="1" fillId="3" borderId="36" xfId="0" applyFont="1" applyFill="1" applyBorder="1" applyAlignment="1">
      <alignment horizontal="right" vertical="center" wrapText="1"/>
    </xf>
    <xf numFmtId="0" fontId="1" fillId="3" borderId="10" xfId="0" applyFont="1" applyFill="1" applyBorder="1" applyAlignment="1">
      <alignment horizontal="right" vertical="center" wrapText="1"/>
    </xf>
    <xf numFmtId="0" fontId="1" fillId="3" borderId="2" xfId="0" applyFont="1" applyFill="1" applyBorder="1" applyAlignment="1">
      <alignment horizontal="right" vertical="center" wrapText="1"/>
    </xf>
    <xf numFmtId="0" fontId="1" fillId="0" borderId="39" xfId="0" applyFont="1" applyBorder="1" applyAlignment="1">
      <alignment horizontal="right" vertical="center"/>
    </xf>
    <xf numFmtId="165" fontId="1" fillId="0" borderId="40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right" vertical="center"/>
    </xf>
    <xf numFmtId="2" fontId="1" fillId="0" borderId="40" xfId="0" applyNumberFormat="1" applyFont="1" applyBorder="1" applyAlignment="1">
      <alignment horizontal="right" vertical="center"/>
    </xf>
    <xf numFmtId="0" fontId="1" fillId="0" borderId="33" xfId="0" applyFont="1" applyBorder="1" applyAlignment="1">
      <alignment horizontal="right" vertical="center"/>
    </xf>
    <xf numFmtId="0" fontId="1" fillId="0" borderId="32" xfId="0" applyFont="1" applyBorder="1" applyAlignment="1">
      <alignment horizontal="right" vertical="center"/>
    </xf>
    <xf numFmtId="0" fontId="0" fillId="0" borderId="33" xfId="0" applyBorder="1" applyAlignment="1">
      <alignment horizontal="right"/>
    </xf>
    <xf numFmtId="0" fontId="1" fillId="3" borderId="24" xfId="0" applyFont="1" applyFill="1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0" fillId="0" borderId="37" xfId="0" applyBorder="1" applyAlignment="1">
      <alignment horizontal="left"/>
    </xf>
    <xf numFmtId="0" fontId="0" fillId="0" borderId="38" xfId="0" applyBorder="1" applyAlignment="1">
      <alignment horizontal="left"/>
    </xf>
    <xf numFmtId="0" fontId="2" fillId="0" borderId="21" xfId="0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165" fontId="1" fillId="6" borderId="12" xfId="0" applyNumberFormat="1" applyFont="1" applyFill="1" applyBorder="1" applyAlignment="1">
      <alignment horizontal="right" vertical="center"/>
    </xf>
    <xf numFmtId="0" fontId="2" fillId="0" borderId="41" xfId="0" applyFont="1" applyFill="1" applyBorder="1" applyAlignment="1">
      <alignment horizontal="right" vertical="center"/>
    </xf>
    <xf numFmtId="165" fontId="2" fillId="0" borderId="21" xfId="0" applyNumberFormat="1" applyFont="1" applyFill="1" applyBorder="1" applyAlignment="1">
      <alignment horizontal="right" vertical="center"/>
    </xf>
    <xf numFmtId="165" fontId="2" fillId="0" borderId="1" xfId="0" applyNumberFormat="1" applyFont="1" applyFill="1" applyBorder="1" applyAlignment="1">
      <alignment horizontal="right" vertical="center"/>
    </xf>
    <xf numFmtId="165" fontId="0" fillId="0" borderId="8" xfId="0" applyNumberFormat="1" applyBorder="1" applyAlignment="1">
      <alignment horizontal="right" vertical="center"/>
    </xf>
    <xf numFmtId="165" fontId="1" fillId="0" borderId="11" xfId="0" applyNumberFormat="1" applyFont="1" applyBorder="1" applyAlignment="1">
      <alignment horizontal="right" vertical="center"/>
    </xf>
    <xf numFmtId="165" fontId="1" fillId="0" borderId="9" xfId="0" applyNumberFormat="1" applyFont="1" applyBorder="1" applyAlignment="1">
      <alignment horizontal="right" vertical="center"/>
    </xf>
    <xf numFmtId="0" fontId="2" fillId="4" borderId="43" xfId="0" applyFont="1" applyFill="1" applyBorder="1" applyAlignment="1">
      <alignment horizontal="left"/>
    </xf>
    <xf numFmtId="165" fontId="0" fillId="4" borderId="12" xfId="0" applyNumberFormat="1" applyFill="1" applyBorder="1" applyAlignment="1">
      <alignment horizontal="right" vertical="center"/>
    </xf>
    <xf numFmtId="165" fontId="0" fillId="4" borderId="1" xfId="0" applyNumberFormat="1" applyFill="1" applyBorder="1" applyAlignment="1">
      <alignment horizontal="right" vertical="center"/>
    </xf>
    <xf numFmtId="165" fontId="0" fillId="4" borderId="8" xfId="0" applyNumberFormat="1" applyFill="1" applyBorder="1" applyAlignment="1">
      <alignment horizontal="right" vertical="center"/>
    </xf>
    <xf numFmtId="0" fontId="2" fillId="0" borderId="18" xfId="0" applyFont="1" applyFill="1" applyBorder="1" applyAlignment="1">
      <alignment horizontal="left"/>
    </xf>
    <xf numFmtId="0" fontId="2" fillId="0" borderId="42" xfId="0" applyFont="1" applyBorder="1" applyAlignment="1">
      <alignment horizontal="left"/>
    </xf>
    <xf numFmtId="0" fontId="2" fillId="4" borderId="43" xfId="0" applyFont="1" applyFill="1" applyBorder="1"/>
    <xf numFmtId="0" fontId="0" fillId="4" borderId="23" xfId="0" applyFill="1" applyBorder="1"/>
    <xf numFmtId="0" fontId="2" fillId="0" borderId="20" xfId="0" applyFont="1" applyFill="1" applyBorder="1" applyAlignment="1">
      <alignment horizontal="left"/>
    </xf>
    <xf numFmtId="0" fontId="1" fillId="7" borderId="43" xfId="0" applyFont="1" applyFill="1" applyBorder="1" applyAlignment="1">
      <alignment horizontal="center"/>
    </xf>
    <xf numFmtId="0" fontId="1" fillId="0" borderId="23" xfId="0" applyFont="1" applyFill="1" applyBorder="1" applyAlignment="1">
      <alignment horizontal="left"/>
    </xf>
    <xf numFmtId="1" fontId="0" fillId="0" borderId="1" xfId="0" applyNumberFormat="1" applyBorder="1" applyAlignment="1">
      <alignment horizontal="right"/>
    </xf>
    <xf numFmtId="1" fontId="0" fillId="0" borderId="8" xfId="0" applyNumberFormat="1" applyBorder="1" applyAlignment="1">
      <alignment horizontal="right"/>
    </xf>
    <xf numFmtId="165" fontId="1" fillId="0" borderId="45" xfId="0" applyNumberFormat="1" applyFont="1" applyBorder="1" applyAlignment="1">
      <alignment horizontal="right" vertical="center"/>
    </xf>
    <xf numFmtId="165" fontId="0" fillId="0" borderId="1" xfId="0" applyNumberFormat="1" applyBorder="1" applyAlignment="1">
      <alignment horizontal="right" vertical="center"/>
    </xf>
    <xf numFmtId="165" fontId="1" fillId="5" borderId="40" xfId="0" applyNumberFormat="1" applyFont="1" applyFill="1" applyBorder="1" applyAlignment="1">
      <alignment horizontal="right" vertical="center"/>
    </xf>
    <xf numFmtId="0" fontId="2" fillId="0" borderId="29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165" fontId="2" fillId="0" borderId="26" xfId="0" applyNumberFormat="1" applyFont="1" applyBorder="1" applyAlignment="1">
      <alignment horizontal="right" vertical="center"/>
    </xf>
    <xf numFmtId="0" fontId="2" fillId="0" borderId="20" xfId="0" applyFont="1" applyBorder="1" applyAlignment="1">
      <alignment horizontal="right" vertical="center"/>
    </xf>
    <xf numFmtId="0" fontId="2" fillId="0" borderId="14" xfId="0" applyFont="1" applyBorder="1" applyAlignment="1">
      <alignment horizontal="right" vertical="center"/>
    </xf>
    <xf numFmtId="165" fontId="2" fillId="4" borderId="21" xfId="0" applyNumberFormat="1" applyFont="1" applyFill="1" applyBorder="1" applyAlignment="1">
      <alignment horizontal="right" vertical="center"/>
    </xf>
    <xf numFmtId="165" fontId="2" fillId="4" borderId="1" xfId="0" applyNumberFormat="1" applyFont="1" applyFill="1" applyBorder="1" applyAlignment="1">
      <alignment horizontal="right" vertical="center"/>
    </xf>
    <xf numFmtId="165" fontId="2" fillId="4" borderId="17" xfId="0" applyNumberFormat="1" applyFont="1" applyFill="1" applyBorder="1" applyAlignment="1">
      <alignment horizontal="right" vertical="center"/>
    </xf>
    <xf numFmtId="0" fontId="0" fillId="4" borderId="1" xfId="0" applyFill="1" applyBorder="1"/>
    <xf numFmtId="164" fontId="0" fillId="4" borderId="1" xfId="0" applyNumberFormat="1" applyFill="1" applyBorder="1" applyAlignment="1">
      <alignment horizontal="right"/>
    </xf>
    <xf numFmtId="165" fontId="0" fillId="4" borderId="1" xfId="0" applyNumberFormat="1" applyFill="1" applyBorder="1"/>
    <xf numFmtId="165" fontId="0" fillId="4" borderId="8" xfId="0" applyNumberFormat="1" applyFill="1" applyBorder="1"/>
    <xf numFmtId="0" fontId="11" fillId="0" borderId="0" xfId="0" applyFont="1" applyBorder="1" applyAlignment="1">
      <alignment horizontal="left"/>
    </xf>
    <xf numFmtId="0" fontId="11" fillId="0" borderId="0" xfId="0" applyFont="1" applyBorder="1"/>
    <xf numFmtId="0" fontId="11" fillId="0" borderId="0" xfId="0" applyFont="1" applyFill="1" applyBorder="1"/>
    <xf numFmtId="0" fontId="2" fillId="0" borderId="42" xfId="0" applyFont="1" applyFill="1" applyBorder="1" applyAlignment="1">
      <alignment horizontal="left"/>
    </xf>
    <xf numFmtId="0" fontId="2" fillId="0" borderId="19" xfId="0" applyFont="1" applyFill="1" applyBorder="1" applyAlignment="1">
      <alignment horizontal="left"/>
    </xf>
    <xf numFmtId="0" fontId="0" fillId="0" borderId="23" xfId="0" applyBorder="1"/>
    <xf numFmtId="0" fontId="2" fillId="0" borderId="15" xfId="0" applyFont="1" applyFill="1" applyBorder="1" applyAlignment="1">
      <alignment horizontal="left"/>
    </xf>
    <xf numFmtId="0" fontId="13" fillId="0" borderId="42" xfId="0" applyFont="1" applyBorder="1" applyAlignment="1">
      <alignment horizontal="left"/>
    </xf>
    <xf numFmtId="0" fontId="2" fillId="0" borderId="43" xfId="0" applyFont="1" applyBorder="1" applyAlignment="1">
      <alignment horizontal="left"/>
    </xf>
    <xf numFmtId="0" fontId="0" fillId="4" borderId="23" xfId="0" applyFill="1" applyBorder="1" applyAlignment="1">
      <alignment horizontal="right"/>
    </xf>
    <xf numFmtId="0" fontId="13" fillId="0" borderId="1" xfId="0" applyFont="1" applyBorder="1" applyAlignment="1">
      <alignment horizontal="left"/>
    </xf>
    <xf numFmtId="0" fontId="1" fillId="0" borderId="0" xfId="0" applyFont="1" applyFill="1" applyBorder="1" applyAlignment="1">
      <alignment vertical="center"/>
    </xf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6" fontId="1" fillId="0" borderId="40" xfId="0" applyNumberFormat="1" applyFont="1" applyBorder="1" applyAlignment="1">
      <alignment horizontal="right" vertical="center"/>
    </xf>
    <xf numFmtId="0" fontId="2" fillId="7" borderId="0" xfId="0" applyFont="1" applyFill="1" applyAlignment="1">
      <alignment horizontal="left" vertical="center"/>
    </xf>
    <xf numFmtId="165" fontId="2" fillId="4" borderId="12" xfId="0" applyNumberFormat="1" applyFont="1" applyFill="1" applyBorder="1" applyAlignment="1">
      <alignment horizontal="right" vertical="center"/>
    </xf>
    <xf numFmtId="165" fontId="2" fillId="0" borderId="12" xfId="0" applyNumberFormat="1" applyFont="1" applyFill="1" applyBorder="1" applyAlignment="1">
      <alignment horizontal="right" vertical="center"/>
    </xf>
    <xf numFmtId="0" fontId="1" fillId="0" borderId="47" xfId="0" applyFont="1" applyBorder="1" applyAlignment="1">
      <alignment horizontal="right" vertical="center"/>
    </xf>
    <xf numFmtId="0" fontId="1" fillId="0" borderId="39" xfId="0" applyFont="1" applyBorder="1" applyAlignment="1">
      <alignment horizontal="right"/>
    </xf>
    <xf numFmtId="0" fontId="2" fillId="0" borderId="36" xfId="0" applyFont="1" applyBorder="1" applyAlignment="1">
      <alignment horizontal="right" vertical="center"/>
    </xf>
    <xf numFmtId="165" fontId="2" fillId="0" borderId="8" xfId="0" applyNumberFormat="1" applyFont="1" applyFill="1" applyBorder="1" applyAlignment="1">
      <alignment horizontal="right" vertical="center"/>
    </xf>
    <xf numFmtId="14" fontId="2" fillId="4" borderId="43" xfId="0" applyNumberFormat="1" applyFont="1" applyFill="1" applyBorder="1" applyAlignment="1">
      <alignment horizontal="left"/>
    </xf>
    <xf numFmtId="0" fontId="2" fillId="0" borderId="23" xfId="0" applyFont="1" applyFill="1" applyBorder="1" applyAlignment="1">
      <alignment horizontal="left"/>
    </xf>
    <xf numFmtId="0" fontId="13" fillId="4" borderId="43" xfId="0" applyFont="1" applyFill="1" applyBorder="1" applyAlignment="1">
      <alignment horizontal="left"/>
    </xf>
    <xf numFmtId="0" fontId="13" fillId="4" borderId="23" xfId="0" applyFont="1" applyFill="1" applyBorder="1"/>
    <xf numFmtId="0" fontId="13" fillId="4" borderId="43" xfId="0" applyFont="1" applyFill="1" applyBorder="1"/>
    <xf numFmtId="0" fontId="13" fillId="4" borderId="0" xfId="0" applyFont="1" applyFill="1" applyBorder="1" applyAlignment="1">
      <alignment horizontal="left"/>
    </xf>
    <xf numFmtId="0" fontId="28" fillId="4" borderId="20" xfId="0" applyFont="1" applyFill="1" applyBorder="1" applyAlignment="1">
      <alignment horizontal="center"/>
    </xf>
    <xf numFmtId="165" fontId="12" fillId="0" borderId="30" xfId="0" applyNumberFormat="1" applyFont="1" applyBorder="1" applyAlignment="1">
      <alignment horizontal="right" vertical="center"/>
    </xf>
    <xf numFmtId="0" fontId="1" fillId="0" borderId="46" xfId="0" applyFont="1" applyFill="1" applyBorder="1" applyAlignment="1">
      <alignment horizontal="center"/>
    </xf>
    <xf numFmtId="0" fontId="2" fillId="0" borderId="43" xfId="0" applyFont="1" applyFill="1" applyBorder="1" applyAlignment="1">
      <alignment horizontal="left"/>
    </xf>
    <xf numFmtId="166" fontId="0" fillId="6" borderId="49" xfId="0" applyNumberFormat="1" applyFill="1" applyBorder="1" applyAlignment="1">
      <alignment vertical="center"/>
    </xf>
    <xf numFmtId="0" fontId="2" fillId="8" borderId="39" xfId="0" applyFont="1" applyFill="1" applyBorder="1" applyAlignment="1">
      <alignment horizontal="right" vertical="center"/>
    </xf>
    <xf numFmtId="165" fontId="1" fillId="6" borderId="26" xfId="0" applyNumberFormat="1" applyFont="1" applyFill="1" applyBorder="1" applyAlignment="1">
      <alignment horizontal="right" vertical="center"/>
    </xf>
    <xf numFmtId="0" fontId="1" fillId="6" borderId="7" xfId="0" applyFont="1" applyFill="1" applyBorder="1" applyAlignment="1">
      <alignment horizontal="right" vertical="center"/>
    </xf>
    <xf numFmtId="0" fontId="2" fillId="6" borderId="39" xfId="0" applyFont="1" applyFill="1" applyBorder="1" applyAlignment="1">
      <alignment horizontal="right" vertical="center"/>
    </xf>
    <xf numFmtId="0" fontId="2" fillId="6" borderId="33" xfId="0" applyFont="1" applyFill="1" applyBorder="1" applyAlignment="1">
      <alignment horizontal="right" vertical="center"/>
    </xf>
    <xf numFmtId="0" fontId="1" fillId="6" borderId="44" xfId="0" applyFont="1" applyFill="1" applyBorder="1" applyAlignment="1">
      <alignment horizontal="right" vertical="center"/>
    </xf>
    <xf numFmtId="165" fontId="0" fillId="6" borderId="30" xfId="0" applyNumberFormat="1" applyFill="1" applyBorder="1" applyAlignment="1">
      <alignment horizontal="right" vertical="center"/>
    </xf>
    <xf numFmtId="2" fontId="12" fillId="6" borderId="9" xfId="0" applyNumberFormat="1" applyFont="1" applyFill="1" applyBorder="1" applyAlignment="1">
      <alignment horizontal="right" vertical="center"/>
    </xf>
    <xf numFmtId="0" fontId="2" fillId="0" borderId="18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2" fillId="0" borderId="23" xfId="0" applyFont="1" applyBorder="1" applyAlignment="1">
      <alignment vertical="center"/>
    </xf>
    <xf numFmtId="0" fontId="2" fillId="0" borderId="0" xfId="0" applyFont="1" applyFill="1" applyBorder="1"/>
    <xf numFmtId="0" fontId="2" fillId="8" borderId="43" xfId="0" applyFont="1" applyFill="1" applyBorder="1" applyAlignment="1">
      <alignment horizontal="left"/>
    </xf>
    <xf numFmtId="0" fontId="0" fillId="8" borderId="23" xfId="0" applyFill="1" applyBorder="1"/>
    <xf numFmtId="0" fontId="1" fillId="0" borderId="0" xfId="1" applyFont="1" applyFill="1" applyAlignment="1">
      <alignment horizontal="center"/>
    </xf>
    <xf numFmtId="0" fontId="2" fillId="0" borderId="0" xfId="1"/>
    <xf numFmtId="0" fontId="2" fillId="0" borderId="18" xfId="1" applyFont="1" applyFill="1" applyBorder="1" applyAlignment="1">
      <alignment horizontal="left"/>
    </xf>
    <xf numFmtId="0" fontId="2" fillId="0" borderId="42" xfId="1" applyFont="1" applyFill="1" applyBorder="1" applyAlignment="1">
      <alignment horizontal="left"/>
    </xf>
    <xf numFmtId="0" fontId="2" fillId="4" borderId="43" xfId="1" applyFont="1" applyFill="1" applyBorder="1" applyAlignment="1">
      <alignment horizontal="left"/>
    </xf>
    <xf numFmtId="0" fontId="2" fillId="4" borderId="43" xfId="1" applyFill="1" applyBorder="1"/>
    <xf numFmtId="14" fontId="2" fillId="4" borderId="43" xfId="1" applyNumberFormat="1" applyFont="1" applyFill="1" applyBorder="1" applyAlignment="1">
      <alignment horizontal="left"/>
    </xf>
    <xf numFmtId="0" fontId="2" fillId="4" borderId="23" xfId="1" applyFill="1" applyBorder="1"/>
    <xf numFmtId="22" fontId="2" fillId="0" borderId="10" xfId="1" applyNumberFormat="1" applyFont="1" applyFill="1" applyBorder="1" applyAlignment="1"/>
    <xf numFmtId="165" fontId="2" fillId="0" borderId="2" xfId="1" applyNumberFormat="1" applyBorder="1" applyAlignment="1">
      <alignment horizontal="right"/>
    </xf>
    <xf numFmtId="0" fontId="2" fillId="0" borderId="2" xfId="1" applyFill="1" applyBorder="1" applyAlignment="1">
      <alignment horizontal="right"/>
    </xf>
    <xf numFmtId="0" fontId="2" fillId="0" borderId="11" xfId="1" applyFill="1" applyBorder="1" applyAlignment="1">
      <alignment horizontal="right"/>
    </xf>
    <xf numFmtId="0" fontId="2" fillId="0" borderId="42" xfId="1" applyFont="1" applyBorder="1" applyAlignment="1">
      <alignment horizontal="left"/>
    </xf>
    <xf numFmtId="0" fontId="2" fillId="4" borderId="43" xfId="1" applyFont="1" applyFill="1" applyBorder="1"/>
    <xf numFmtId="0" fontId="10" fillId="4" borderId="43" xfId="1" applyFont="1" applyFill="1" applyBorder="1"/>
    <xf numFmtId="0" fontId="2" fillId="0" borderId="15" xfId="1" applyFont="1" applyFill="1" applyBorder="1" applyAlignment="1">
      <alignment horizontal="left"/>
    </xf>
    <xf numFmtId="0" fontId="2" fillId="4" borderId="16" xfId="1" applyFill="1" applyBorder="1"/>
    <xf numFmtId="22" fontId="2" fillId="0" borderId="6" xfId="1" applyNumberFormat="1" applyFill="1" applyBorder="1" applyAlignment="1"/>
    <xf numFmtId="165" fontId="2" fillId="0" borderId="1" xfId="1" applyNumberFormat="1" applyBorder="1" applyAlignment="1">
      <alignment horizontal="right"/>
    </xf>
    <xf numFmtId="0" fontId="2" fillId="4" borderId="1" xfId="1" applyFill="1" applyBorder="1"/>
    <xf numFmtId="164" fontId="2" fillId="4" borderId="1" xfId="1" applyNumberFormat="1" applyFill="1" applyBorder="1" applyAlignment="1">
      <alignment horizontal="right"/>
    </xf>
    <xf numFmtId="0" fontId="2" fillId="4" borderId="1" xfId="1" applyFill="1" applyBorder="1" applyAlignment="1">
      <alignment horizontal="right"/>
    </xf>
    <xf numFmtId="0" fontId="1" fillId="4" borderId="1" xfId="1" applyFont="1" applyFill="1" applyBorder="1" applyAlignment="1">
      <alignment horizontal="right"/>
    </xf>
    <xf numFmtId="165" fontId="1" fillId="0" borderId="5" xfId="1" applyNumberFormat="1" applyFont="1" applyBorder="1" applyAlignment="1">
      <alignment horizontal="right"/>
    </xf>
    <xf numFmtId="0" fontId="2" fillId="0" borderId="19" xfId="1" applyFont="1" applyFill="1" applyBorder="1" applyAlignment="1">
      <alignment horizontal="left"/>
    </xf>
    <xf numFmtId="0" fontId="2" fillId="4" borderId="0" xfId="1" applyFont="1" applyFill="1" applyBorder="1" applyAlignment="1">
      <alignment horizontal="left"/>
    </xf>
    <xf numFmtId="0" fontId="1" fillId="4" borderId="20" xfId="1" applyFont="1" applyFill="1" applyBorder="1" applyAlignment="1">
      <alignment horizontal="center"/>
    </xf>
    <xf numFmtId="1" fontId="2" fillId="0" borderId="1" xfId="1" applyNumberFormat="1" applyBorder="1" applyAlignment="1">
      <alignment horizontal="right"/>
    </xf>
    <xf numFmtId="0" fontId="13" fillId="0" borderId="1" xfId="1" applyFont="1" applyBorder="1" applyAlignment="1">
      <alignment horizontal="left"/>
    </xf>
    <xf numFmtId="0" fontId="13" fillId="0" borderId="42" xfId="1" applyFont="1" applyBorder="1" applyAlignment="1">
      <alignment horizontal="left"/>
    </xf>
    <xf numFmtId="0" fontId="11" fillId="4" borderId="43" xfId="1" applyFont="1" applyFill="1" applyBorder="1"/>
    <xf numFmtId="0" fontId="2" fillId="0" borderId="43" xfId="1" applyFont="1" applyBorder="1" applyAlignment="1">
      <alignment horizontal="left"/>
    </xf>
    <xf numFmtId="0" fontId="2" fillId="4" borderId="23" xfId="1" applyFill="1" applyBorder="1" applyAlignment="1">
      <alignment horizontal="right"/>
    </xf>
    <xf numFmtId="0" fontId="11" fillId="0" borderId="0" xfId="1" applyFont="1" applyBorder="1" applyAlignment="1">
      <alignment horizontal="left"/>
    </xf>
    <xf numFmtId="0" fontId="11" fillId="0" borderId="0" xfId="1" applyFont="1" applyBorder="1"/>
    <xf numFmtId="0" fontId="11" fillId="0" borderId="0" xfId="1" applyFont="1" applyFill="1" applyBorder="1"/>
    <xf numFmtId="0" fontId="1" fillId="3" borderId="24" xfId="1" applyFont="1" applyFill="1" applyBorder="1" applyAlignment="1">
      <alignment horizontal="left" vertical="center"/>
    </xf>
    <xf numFmtId="0" fontId="2" fillId="0" borderId="27" xfId="1" applyBorder="1" applyAlignment="1">
      <alignment horizontal="left"/>
    </xf>
    <xf numFmtId="0" fontId="1" fillId="3" borderId="36" xfId="1" applyFont="1" applyFill="1" applyBorder="1" applyAlignment="1">
      <alignment horizontal="right" vertical="center" wrapText="1"/>
    </xf>
    <xf numFmtId="0" fontId="1" fillId="3" borderId="12" xfId="1" applyFont="1" applyFill="1" applyBorder="1" applyAlignment="1">
      <alignment horizontal="right" vertical="center" wrapText="1"/>
    </xf>
    <xf numFmtId="0" fontId="2" fillId="0" borderId="37" xfId="1" applyBorder="1" applyAlignment="1">
      <alignment horizontal="left"/>
    </xf>
    <xf numFmtId="0" fontId="2" fillId="0" borderId="38" xfId="1" applyBorder="1" applyAlignment="1">
      <alignment horizontal="left"/>
    </xf>
    <xf numFmtId="0" fontId="1" fillId="3" borderId="10" xfId="1" applyFont="1" applyFill="1" applyBorder="1" applyAlignment="1">
      <alignment horizontal="right" vertical="center" wrapText="1"/>
    </xf>
    <xf numFmtId="0" fontId="1" fillId="3" borderId="2" xfId="1" applyFont="1" applyFill="1" applyBorder="1" applyAlignment="1">
      <alignment horizontal="right" vertical="center" wrapText="1"/>
    </xf>
    <xf numFmtId="0" fontId="1" fillId="0" borderId="32" xfId="1" applyFont="1" applyBorder="1" applyAlignment="1">
      <alignment horizontal="right" vertical="center"/>
    </xf>
    <xf numFmtId="0" fontId="2" fillId="0" borderId="33" xfId="1" applyBorder="1" applyAlignment="1">
      <alignment horizontal="right"/>
    </xf>
    <xf numFmtId="0" fontId="1" fillId="0" borderId="22" xfId="1" applyFont="1" applyBorder="1" applyAlignment="1">
      <alignment horizontal="right" vertical="center"/>
    </xf>
    <xf numFmtId="0" fontId="1" fillId="0" borderId="3" xfId="1" applyFont="1" applyBorder="1" applyAlignment="1">
      <alignment horizontal="right" vertical="center"/>
    </xf>
    <xf numFmtId="0" fontId="1" fillId="0" borderId="4" xfId="1" applyFont="1" applyBorder="1" applyAlignment="1">
      <alignment horizontal="right" vertical="center"/>
    </xf>
    <xf numFmtId="22" fontId="2" fillId="0" borderId="6" xfId="1" applyNumberFormat="1" applyFont="1" applyFill="1" applyBorder="1" applyAlignment="1"/>
    <xf numFmtId="165" fontId="2" fillId="4" borderId="1" xfId="1" applyNumberFormat="1" applyFill="1" applyBorder="1" applyAlignment="1">
      <alignment horizontal="right"/>
    </xf>
    <xf numFmtId="0" fontId="1" fillId="0" borderId="39" xfId="1" applyFont="1" applyBorder="1" applyAlignment="1">
      <alignment horizontal="right"/>
    </xf>
    <xf numFmtId="0" fontId="2" fillId="0" borderId="36" xfId="1" applyFont="1" applyBorder="1" applyAlignment="1">
      <alignment horizontal="right" vertical="center"/>
    </xf>
    <xf numFmtId="165" fontId="2" fillId="4" borderId="12" xfId="1" applyNumberFormat="1" applyFont="1" applyFill="1" applyBorder="1" applyAlignment="1">
      <alignment horizontal="right" vertical="center"/>
    </xf>
    <xf numFmtId="165" fontId="2" fillId="0" borderId="12" xfId="1" applyNumberFormat="1" applyFont="1" applyFill="1" applyBorder="1" applyAlignment="1">
      <alignment horizontal="right" vertical="center"/>
    </xf>
    <xf numFmtId="165" fontId="2" fillId="0" borderId="2" xfId="1" applyNumberFormat="1" applyBorder="1" applyAlignment="1">
      <alignment horizontal="right" vertical="center"/>
    </xf>
    <xf numFmtId="0" fontId="1" fillId="0" borderId="30" xfId="1" applyFont="1" applyBorder="1" applyAlignment="1">
      <alignment horizontal="right" vertical="center"/>
    </xf>
    <xf numFmtId="0" fontId="1" fillId="0" borderId="47" xfId="1" applyFont="1" applyBorder="1" applyAlignment="1">
      <alignment horizontal="right" vertical="center"/>
    </xf>
    <xf numFmtId="0" fontId="2" fillId="0" borderId="20" xfId="1" applyFont="1" applyBorder="1" applyAlignment="1">
      <alignment horizontal="right" vertical="center"/>
    </xf>
    <xf numFmtId="165" fontId="2" fillId="4" borderId="21" xfId="1" applyNumberFormat="1" applyFont="1" applyFill="1" applyBorder="1" applyAlignment="1">
      <alignment horizontal="right" vertical="center"/>
    </xf>
    <xf numFmtId="165" fontId="2" fillId="0" borderId="21" xfId="1" applyNumberFormat="1" applyFont="1" applyFill="1" applyBorder="1" applyAlignment="1">
      <alignment horizontal="right" vertical="center"/>
    </xf>
    <xf numFmtId="165" fontId="1" fillId="0" borderId="11" xfId="1" applyNumberFormat="1" applyFont="1" applyBorder="1" applyAlignment="1">
      <alignment horizontal="right" vertical="center"/>
    </xf>
    <xf numFmtId="165" fontId="2" fillId="4" borderId="1" xfId="1" applyNumberFormat="1" applyFill="1" applyBorder="1"/>
    <xf numFmtId="0" fontId="1" fillId="0" borderId="40" xfId="1" applyFont="1" applyBorder="1" applyAlignment="1">
      <alignment horizontal="right" vertical="center"/>
    </xf>
    <xf numFmtId="0" fontId="2" fillId="0" borderId="23" xfId="1" applyFont="1" applyBorder="1" applyAlignment="1">
      <alignment horizontal="right" vertical="center"/>
    </xf>
    <xf numFmtId="165" fontId="2" fillId="4" borderId="1" xfId="1" applyNumberFormat="1" applyFont="1" applyFill="1" applyBorder="1" applyAlignment="1">
      <alignment horizontal="right" vertical="center"/>
    </xf>
    <xf numFmtId="165" fontId="2" fillId="0" borderId="1" xfId="1" applyNumberFormat="1" applyFont="1" applyFill="1" applyBorder="1" applyAlignment="1">
      <alignment horizontal="right" vertical="center"/>
    </xf>
    <xf numFmtId="165" fontId="1" fillId="0" borderId="5" xfId="1" applyNumberFormat="1" applyFont="1" applyBorder="1" applyAlignment="1">
      <alignment horizontal="right" vertical="center"/>
    </xf>
    <xf numFmtId="22" fontId="2" fillId="0" borderId="7" xfId="1" applyNumberFormat="1" applyFont="1" applyFill="1" applyBorder="1"/>
    <xf numFmtId="1" fontId="2" fillId="0" borderId="8" xfId="1" applyNumberFormat="1" applyBorder="1" applyAlignment="1">
      <alignment horizontal="right"/>
    </xf>
    <xf numFmtId="165" fontId="2" fillId="4" borderId="8" xfId="1" applyNumberFormat="1" applyFill="1" applyBorder="1"/>
    <xf numFmtId="0" fontId="2" fillId="4" borderId="8" xfId="1" applyFill="1" applyBorder="1" applyAlignment="1">
      <alignment horizontal="right"/>
    </xf>
    <xf numFmtId="165" fontId="2" fillId="0" borderId="8" xfId="1" applyNumberFormat="1" applyBorder="1" applyAlignment="1">
      <alignment horizontal="right"/>
    </xf>
    <xf numFmtId="165" fontId="2" fillId="4" borderId="8" xfId="1" applyNumberFormat="1" applyFill="1" applyBorder="1" applyAlignment="1">
      <alignment horizontal="right"/>
    </xf>
    <xf numFmtId="0" fontId="1" fillId="4" borderId="8" xfId="1" applyFont="1" applyFill="1" applyBorder="1" applyAlignment="1">
      <alignment horizontal="right"/>
    </xf>
    <xf numFmtId="165" fontId="1" fillId="0" borderId="9" xfId="1" applyNumberFormat="1" applyFont="1" applyBorder="1" applyAlignment="1">
      <alignment horizontal="right"/>
    </xf>
    <xf numFmtId="0" fontId="1" fillId="0" borderId="33" xfId="1" applyFont="1" applyBorder="1" applyAlignment="1">
      <alignment horizontal="right" vertical="center"/>
    </xf>
    <xf numFmtId="0" fontId="2" fillId="0" borderId="14" xfId="1" applyFont="1" applyBorder="1" applyAlignment="1">
      <alignment horizontal="right" vertical="center"/>
    </xf>
    <xf numFmtId="165" fontId="2" fillId="4" borderId="17" xfId="1" applyNumberFormat="1" applyFont="1" applyFill="1" applyBorder="1" applyAlignment="1">
      <alignment horizontal="right" vertical="center"/>
    </xf>
    <xf numFmtId="165" fontId="2" fillId="0" borderId="8" xfId="1" applyNumberFormat="1" applyBorder="1" applyAlignment="1">
      <alignment horizontal="right" vertical="center"/>
    </xf>
    <xf numFmtId="165" fontId="1" fillId="0" borderId="9" xfId="1" applyNumberFormat="1" applyFont="1" applyBorder="1" applyAlignment="1">
      <alignment horizontal="right" vertical="center"/>
    </xf>
    <xf numFmtId="0" fontId="2" fillId="0" borderId="18" xfId="1" applyBorder="1"/>
    <xf numFmtId="0" fontId="2" fillId="0" borderId="13" xfId="1" applyBorder="1"/>
    <xf numFmtId="0" fontId="2" fillId="0" borderId="14" xfId="1" applyBorder="1"/>
    <xf numFmtId="0" fontId="1" fillId="0" borderId="39" xfId="1" applyFont="1" applyBorder="1" applyAlignment="1">
      <alignment horizontal="right" vertical="center"/>
    </xf>
    <xf numFmtId="0" fontId="2" fillId="0" borderId="29" xfId="1" applyFont="1" applyBorder="1" applyAlignment="1">
      <alignment horizontal="right" vertical="center"/>
    </xf>
    <xf numFmtId="165" fontId="2" fillId="4" borderId="12" xfId="1" applyNumberFormat="1" applyFill="1" applyBorder="1" applyAlignment="1">
      <alignment horizontal="right" vertical="center"/>
    </xf>
    <xf numFmtId="0" fontId="2" fillId="0" borderId="41" xfId="1" applyFont="1" applyFill="1" applyBorder="1" applyAlignment="1">
      <alignment horizontal="right" vertical="center"/>
    </xf>
    <xf numFmtId="0" fontId="2" fillId="0" borderId="19" xfId="1" applyBorder="1"/>
    <xf numFmtId="0" fontId="2" fillId="0" borderId="0" xfId="1" applyBorder="1"/>
    <xf numFmtId="0" fontId="2" fillId="0" borderId="20" xfId="1" applyBorder="1"/>
    <xf numFmtId="165" fontId="1" fillId="0" borderId="40" xfId="1" applyNumberFormat="1" applyFont="1" applyBorder="1" applyAlignment="1">
      <alignment horizontal="right" vertical="center"/>
    </xf>
    <xf numFmtId="165" fontId="2" fillId="4" borderId="1" xfId="1" applyNumberFormat="1" applyFill="1" applyBorder="1" applyAlignment="1">
      <alignment horizontal="right" vertical="center"/>
    </xf>
    <xf numFmtId="0" fontId="2" fillId="0" borderId="1" xfId="1" applyFont="1" applyFill="1" applyBorder="1" applyAlignment="1">
      <alignment horizontal="right" vertical="center"/>
    </xf>
    <xf numFmtId="0" fontId="2" fillId="0" borderId="21" xfId="1" applyFont="1" applyFill="1" applyBorder="1" applyAlignment="1">
      <alignment horizontal="right" vertical="center"/>
    </xf>
    <xf numFmtId="2" fontId="1" fillId="0" borderId="40" xfId="1" applyNumberFormat="1" applyFont="1" applyBorder="1" applyAlignment="1">
      <alignment horizontal="right" vertical="center"/>
    </xf>
    <xf numFmtId="165" fontId="1" fillId="0" borderId="45" xfId="1" applyNumberFormat="1" applyFont="1" applyBorder="1" applyAlignment="1">
      <alignment horizontal="right" vertical="center"/>
    </xf>
    <xf numFmtId="166" fontId="1" fillId="0" borderId="40" xfId="1" applyNumberFormat="1" applyFont="1" applyBorder="1" applyAlignment="1">
      <alignment horizontal="right" vertical="center"/>
    </xf>
    <xf numFmtId="165" fontId="2" fillId="0" borderId="1" xfId="1" applyNumberFormat="1" applyBorder="1" applyAlignment="1">
      <alignment horizontal="right" vertical="center"/>
    </xf>
    <xf numFmtId="165" fontId="1" fillId="5" borderId="40" xfId="1" applyNumberFormat="1" applyFont="1" applyFill="1" applyBorder="1" applyAlignment="1">
      <alignment horizontal="right" vertical="center"/>
    </xf>
    <xf numFmtId="0" fontId="1" fillId="0" borderId="31" xfId="1" applyFont="1" applyBorder="1" applyAlignment="1">
      <alignment horizontal="center" vertical="center" textRotation="90"/>
    </xf>
    <xf numFmtId="165" fontId="2" fillId="0" borderId="26" xfId="1" applyNumberFormat="1" applyFont="1" applyBorder="1" applyAlignment="1">
      <alignment horizontal="right" vertical="center"/>
    </xf>
    <xf numFmtId="165" fontId="2" fillId="4" borderId="8" xfId="1" applyNumberFormat="1" applyFill="1" applyBorder="1" applyAlignment="1">
      <alignment horizontal="right" vertical="center"/>
    </xf>
    <xf numFmtId="165" fontId="2" fillId="0" borderId="8" xfId="1" applyNumberFormat="1" applyFont="1" applyFill="1" applyBorder="1" applyAlignment="1">
      <alignment horizontal="right" vertical="center"/>
    </xf>
    <xf numFmtId="0" fontId="2" fillId="8" borderId="52" xfId="1" applyFont="1" applyFill="1" applyBorder="1" applyAlignment="1">
      <alignment horizontal="right" vertical="center"/>
    </xf>
    <xf numFmtId="0" fontId="1" fillId="6" borderId="53" xfId="1" applyFont="1" applyFill="1" applyBorder="1" applyAlignment="1">
      <alignment horizontal="right" vertical="center"/>
    </xf>
    <xf numFmtId="165" fontId="1" fillId="6" borderId="12" xfId="1" applyNumberFormat="1" applyFont="1" applyFill="1" applyBorder="1" applyAlignment="1">
      <alignment horizontal="right" vertical="center"/>
    </xf>
    <xf numFmtId="165" fontId="2" fillId="6" borderId="12" xfId="1" applyNumberFormat="1" applyFill="1" applyBorder="1" applyAlignment="1">
      <alignment horizontal="right" vertical="center"/>
    </xf>
    <xf numFmtId="0" fontId="2" fillId="6" borderId="30" xfId="1" applyFont="1" applyFill="1" applyBorder="1" applyAlignment="1">
      <alignment horizontal="right" vertical="center"/>
    </xf>
    <xf numFmtId="0" fontId="1" fillId="6" borderId="32" xfId="1" applyFont="1" applyFill="1" applyBorder="1" applyAlignment="1">
      <alignment horizontal="center" vertical="center"/>
    </xf>
    <xf numFmtId="0" fontId="1" fillId="6" borderId="33" xfId="1" applyFont="1" applyFill="1" applyBorder="1" applyAlignment="1">
      <alignment horizontal="center" vertical="center"/>
    </xf>
    <xf numFmtId="0" fontId="2" fillId="6" borderId="54" xfId="1" applyFont="1" applyFill="1" applyBorder="1" applyAlignment="1">
      <alignment horizontal="right" vertical="center"/>
    </xf>
    <xf numFmtId="0" fontId="1" fillId="6" borderId="33" xfId="1" applyFont="1" applyFill="1" applyBorder="1" applyAlignment="1">
      <alignment horizontal="right" vertical="center"/>
    </xf>
    <xf numFmtId="165" fontId="1" fillId="6" borderId="8" xfId="1" applyNumberFormat="1" applyFont="1" applyFill="1" applyBorder="1" applyAlignment="1">
      <alignment horizontal="right" vertical="center"/>
    </xf>
    <xf numFmtId="2" fontId="12" fillId="6" borderId="8" xfId="1" applyNumberFormat="1" applyFont="1" applyFill="1" applyBorder="1" applyAlignment="1">
      <alignment horizontal="right" vertical="center"/>
    </xf>
    <xf numFmtId="0" fontId="2" fillId="6" borderId="9" xfId="1" applyFont="1" applyFill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165" fontId="8" fillId="0" borderId="0" xfId="1" applyNumberFormat="1" applyFont="1" applyBorder="1" applyAlignment="1">
      <alignment horizontal="right" vertical="center"/>
    </xf>
    <xf numFmtId="0" fontId="2" fillId="0" borderId="0" xfId="1" applyBorder="1" applyAlignment="1">
      <alignment horizontal="right" vertical="center"/>
    </xf>
    <xf numFmtId="0" fontId="2" fillId="7" borderId="0" xfId="1" applyFont="1" applyFill="1" applyAlignment="1">
      <alignment horizontal="left" vertical="center"/>
    </xf>
    <xf numFmtId="0" fontId="1" fillId="0" borderId="0" xfId="1" applyFont="1" applyFill="1" applyBorder="1" applyAlignment="1">
      <alignment horizontal="center"/>
    </xf>
    <xf numFmtId="0" fontId="1" fillId="0" borderId="19" xfId="1" applyFont="1" applyFill="1" applyBorder="1" applyAlignment="1">
      <alignment vertical="center"/>
    </xf>
    <xf numFmtId="0" fontId="1" fillId="0" borderId="0" xfId="1" applyFont="1" applyFill="1" applyBorder="1" applyAlignment="1">
      <alignment vertical="center"/>
    </xf>
    <xf numFmtId="0" fontId="2" fillId="7" borderId="42" xfId="1" applyFont="1" applyFill="1" applyBorder="1" applyAlignment="1">
      <alignment horizontal="left"/>
    </xf>
    <xf numFmtId="0" fontId="1" fillId="7" borderId="43" xfId="1" applyFont="1" applyFill="1" applyBorder="1" applyAlignment="1">
      <alignment horizontal="center"/>
    </xf>
    <xf numFmtId="0" fontId="2" fillId="0" borderId="23" xfId="1" applyBorder="1"/>
    <xf numFmtId="0" fontId="2" fillId="4" borderId="13" xfId="1" applyFont="1" applyFill="1" applyBorder="1" applyAlignment="1">
      <alignment horizontal="right"/>
    </xf>
    <xf numFmtId="0" fontId="40" fillId="0" borderId="14" xfId="1" applyFont="1" applyFill="1" applyBorder="1" applyAlignment="1">
      <alignment horizontal="left"/>
    </xf>
    <xf numFmtId="0" fontId="2" fillId="0" borderId="0" xfId="1" applyFill="1" applyBorder="1"/>
    <xf numFmtId="0" fontId="2" fillId="4" borderId="0" xfId="1" applyFont="1" applyFill="1" applyBorder="1" applyAlignment="1">
      <alignment horizontal="right"/>
    </xf>
    <xf numFmtId="0" fontId="2" fillId="0" borderId="20" xfId="1" applyFont="1" applyFill="1" applyBorder="1" applyAlignment="1">
      <alignment horizontal="left"/>
    </xf>
    <xf numFmtId="0" fontId="2" fillId="0" borderId="19" xfId="1" applyFont="1" applyFill="1" applyBorder="1"/>
    <xf numFmtId="0" fontId="2" fillId="0" borderId="0" xfId="1" applyFont="1" applyFill="1" applyBorder="1" applyAlignment="1">
      <alignment horizontal="center"/>
    </xf>
    <xf numFmtId="0" fontId="2" fillId="7" borderId="43" xfId="1" applyFill="1" applyBorder="1"/>
    <xf numFmtId="0" fontId="2" fillId="7" borderId="23" xfId="1" applyFill="1" applyBorder="1"/>
    <xf numFmtId="2" fontId="1" fillId="5" borderId="42" xfId="1" applyNumberFormat="1" applyFont="1" applyFill="1" applyBorder="1"/>
    <xf numFmtId="0" fontId="1" fillId="0" borderId="23" xfId="1" applyFont="1" applyFill="1" applyBorder="1" applyAlignment="1">
      <alignment horizontal="left"/>
    </xf>
    <xf numFmtId="0" fontId="2" fillId="0" borderId="15" xfId="1" applyBorder="1"/>
    <xf numFmtId="0" fontId="2" fillId="0" borderId="46" xfId="1" applyBorder="1"/>
    <xf numFmtId="0" fontId="2" fillId="0" borderId="16" xfId="1" applyBorder="1"/>
    <xf numFmtId="166" fontId="12" fillId="6" borderId="8" xfId="1" applyNumberFormat="1" applyFont="1" applyFill="1" applyBorder="1" applyAlignment="1">
      <alignment horizontal="right" vertical="center"/>
    </xf>
    <xf numFmtId="0" fontId="2" fillId="6" borderId="8" xfId="1" applyFont="1" applyFill="1" applyBorder="1" applyAlignment="1">
      <alignment horizontal="right" vertical="center"/>
    </xf>
    <xf numFmtId="0" fontId="2" fillId="6" borderId="7" xfId="1" applyFont="1" applyFill="1" applyBorder="1" applyAlignment="1">
      <alignment horizontal="right" vertical="center"/>
    </xf>
    <xf numFmtId="0" fontId="2" fillId="6" borderId="12" xfId="1" applyFont="1" applyFill="1" applyBorder="1" applyAlignment="1">
      <alignment horizontal="right" vertical="center"/>
    </xf>
    <xf numFmtId="0" fontId="2" fillId="6" borderId="36" xfId="1" applyFont="1" applyFill="1" applyBorder="1" applyAlignment="1">
      <alignment horizontal="right" vertical="center"/>
    </xf>
    <xf numFmtId="0" fontId="1" fillId="6" borderId="44" xfId="1" applyFont="1" applyFill="1" applyBorder="1" applyAlignment="1">
      <alignment horizontal="right" vertical="center"/>
    </xf>
    <xf numFmtId="0" fontId="2" fillId="0" borderId="8" xfId="1" applyFont="1" applyFill="1" applyBorder="1" applyAlignment="1">
      <alignment horizontal="right" vertical="center"/>
    </xf>
    <xf numFmtId="165" fontId="12" fillId="0" borderId="51" xfId="1" applyNumberFormat="1" applyFont="1" applyBorder="1" applyAlignment="1">
      <alignment horizontal="right" vertical="center"/>
    </xf>
    <xf numFmtId="0" fontId="1" fillId="0" borderId="27" xfId="1" applyFont="1" applyBorder="1" applyAlignment="1">
      <alignment horizontal="right" vertical="center"/>
    </xf>
    <xf numFmtId="0" fontId="2" fillId="0" borderId="0" xfId="0" applyFont="1"/>
    <xf numFmtId="0" fontId="31" fillId="0" borderId="0" xfId="0" applyFont="1"/>
    <xf numFmtId="0" fontId="0" fillId="5" borderId="0" xfId="0" applyFill="1"/>
    <xf numFmtId="11" fontId="31" fillId="11" borderId="0" xfId="0" applyNumberFormat="1" applyFont="1" applyFill="1"/>
    <xf numFmtId="11" fontId="31" fillId="7" borderId="0" xfId="0" applyNumberFormat="1" applyFont="1" applyFill="1"/>
    <xf numFmtId="0" fontId="31" fillId="0" borderId="55" xfId="0" applyFont="1" applyBorder="1"/>
    <xf numFmtId="11" fontId="31" fillId="11" borderId="56" xfId="0" applyNumberFormat="1" applyFont="1" applyFill="1" applyBorder="1"/>
    <xf numFmtId="0" fontId="2" fillId="0" borderId="24" xfId="0" applyFont="1" applyBorder="1"/>
    <xf numFmtId="0" fontId="0" fillId="5" borderId="57" xfId="0" applyFill="1" applyBorder="1"/>
    <xf numFmtId="0" fontId="2" fillId="0" borderId="27" xfId="1" applyBorder="1"/>
    <xf numFmtId="0" fontId="31" fillId="0" borderId="48" xfId="0" applyFont="1" applyBorder="1"/>
    <xf numFmtId="11" fontId="31" fillId="11" borderId="58" xfId="0" applyNumberFormat="1" applyFont="1" applyFill="1" applyBorder="1"/>
    <xf numFmtId="0" fontId="31" fillId="12" borderId="49" xfId="0" applyFont="1" applyFill="1" applyBorder="1"/>
    <xf numFmtId="0" fontId="31" fillId="0" borderId="24" xfId="0" applyFont="1" applyBorder="1"/>
    <xf numFmtId="0" fontId="2" fillId="0" borderId="59" xfId="0" applyFont="1" applyBorder="1"/>
    <xf numFmtId="0" fontId="2" fillId="0" borderId="47" xfId="1" applyBorder="1"/>
    <xf numFmtId="0" fontId="2" fillId="0" borderId="48" xfId="0" applyFont="1" applyBorder="1"/>
    <xf numFmtId="0" fontId="0" fillId="12" borderId="58" xfId="0" applyFill="1" applyBorder="1"/>
    <xf numFmtId="0" fontId="2" fillId="0" borderId="58" xfId="1" applyBorder="1"/>
    <xf numFmtId="0" fontId="2" fillId="0" borderId="49" xfId="1" applyBorder="1"/>
    <xf numFmtId="0" fontId="31" fillId="0" borderId="55" xfId="1" applyFont="1" applyBorder="1"/>
    <xf numFmtId="0" fontId="31" fillId="0" borderId="60" xfId="0" applyFont="1" applyBorder="1"/>
    <xf numFmtId="0" fontId="31" fillId="0" borderId="56" xfId="0" applyFont="1" applyBorder="1"/>
    <xf numFmtId="11" fontId="31" fillId="5" borderId="55" xfId="1" applyNumberFormat="1" applyFont="1" applyFill="1" applyBorder="1"/>
    <xf numFmtId="11" fontId="31" fillId="5" borderId="55" xfId="0" applyNumberFormat="1" applyFont="1" applyFill="1" applyBorder="1"/>
    <xf numFmtId="11" fontId="0" fillId="0" borderId="0" xfId="0" applyNumberFormat="1" applyFill="1" applyBorder="1"/>
    <xf numFmtId="2" fontId="31" fillId="0" borderId="56" xfId="0" applyNumberFormat="1" applyFont="1" applyBorder="1"/>
    <xf numFmtId="0" fontId="2" fillId="0" borderId="24" xfId="1" applyBorder="1"/>
    <xf numFmtId="0" fontId="2" fillId="0" borderId="59" xfId="1" applyBorder="1"/>
    <xf numFmtId="0" fontId="2" fillId="0" borderId="48" xfId="1" applyBorder="1"/>
    <xf numFmtId="0" fontId="1" fillId="0" borderId="46" xfId="1" applyFont="1" applyFill="1" applyBorder="1" applyAlignment="1">
      <alignment horizontal="center"/>
    </xf>
    <xf numFmtId="0" fontId="2" fillId="0" borderId="43" xfId="1" applyFont="1" applyFill="1" applyBorder="1" applyAlignment="1">
      <alignment horizontal="left"/>
    </xf>
    <xf numFmtId="0" fontId="2" fillId="8" borderId="43" xfId="1" applyFont="1" applyFill="1" applyBorder="1" applyAlignment="1">
      <alignment horizontal="left"/>
    </xf>
    <xf numFmtId="0" fontId="2" fillId="8" borderId="23" xfId="1" applyFill="1" applyBorder="1"/>
    <xf numFmtId="0" fontId="13" fillId="4" borderId="43" xfId="1" applyFont="1" applyFill="1" applyBorder="1" applyAlignment="1">
      <alignment horizontal="left"/>
    </xf>
    <xf numFmtId="0" fontId="13" fillId="4" borderId="23" xfId="1" applyFont="1" applyFill="1" applyBorder="1"/>
    <xf numFmtId="0" fontId="13" fillId="4" borderId="0" xfId="1" applyFont="1" applyFill="1" applyBorder="1" applyAlignment="1">
      <alignment horizontal="left"/>
    </xf>
    <xf numFmtId="0" fontId="28" fillId="4" borderId="20" xfId="1" applyFont="1" applyFill="1" applyBorder="1" applyAlignment="1">
      <alignment horizontal="center"/>
    </xf>
    <xf numFmtId="0" fontId="13" fillId="4" borderId="43" xfId="1" applyFont="1" applyFill="1" applyBorder="1"/>
    <xf numFmtId="165" fontId="12" fillId="0" borderId="30" xfId="1" applyNumberFormat="1" applyFont="1" applyBorder="1" applyAlignment="1">
      <alignment horizontal="right" vertical="center"/>
    </xf>
    <xf numFmtId="0" fontId="2" fillId="8" borderId="39" xfId="1" applyFont="1" applyFill="1" applyBorder="1" applyAlignment="1">
      <alignment horizontal="right" vertical="center"/>
    </xf>
    <xf numFmtId="165" fontId="2" fillId="6" borderId="30" xfId="1" applyNumberFormat="1" applyFill="1" applyBorder="1" applyAlignment="1">
      <alignment horizontal="right" vertical="center"/>
    </xf>
    <xf numFmtId="0" fontId="2" fillId="6" borderId="39" xfId="1" applyFont="1" applyFill="1" applyBorder="1" applyAlignment="1">
      <alignment horizontal="right" vertical="center"/>
    </xf>
    <xf numFmtId="166" fontId="2" fillId="6" borderId="49" xfId="1" applyNumberFormat="1" applyFill="1" applyBorder="1" applyAlignment="1">
      <alignment vertical="center"/>
    </xf>
    <xf numFmtId="0" fontId="1" fillId="6" borderId="7" xfId="1" applyFont="1" applyFill="1" applyBorder="1" applyAlignment="1">
      <alignment horizontal="right" vertical="center"/>
    </xf>
    <xf numFmtId="165" fontId="1" fillId="6" borderId="26" xfId="1" applyNumberFormat="1" applyFont="1" applyFill="1" applyBorder="1" applyAlignment="1">
      <alignment horizontal="right" vertical="center"/>
    </xf>
    <xf numFmtId="2" fontId="12" fillId="6" borderId="9" xfId="1" applyNumberFormat="1" applyFont="1" applyFill="1" applyBorder="1" applyAlignment="1">
      <alignment horizontal="right" vertical="center"/>
    </xf>
    <xf numFmtId="0" fontId="2" fillId="6" borderId="33" xfId="1" applyFont="1" applyFill="1" applyBorder="1" applyAlignment="1">
      <alignment horizontal="right" vertical="center"/>
    </xf>
    <xf numFmtId="0" fontId="2" fillId="0" borderId="18" xfId="1" applyFont="1" applyBorder="1" applyAlignment="1">
      <alignment vertical="center"/>
    </xf>
    <xf numFmtId="0" fontId="2" fillId="0" borderId="13" xfId="1" applyBorder="1" applyAlignment="1">
      <alignment vertical="center"/>
    </xf>
    <xf numFmtId="1" fontId="1" fillId="6" borderId="42" xfId="1" applyNumberFormat="1" applyFont="1" applyFill="1" applyBorder="1" applyAlignment="1">
      <alignment vertical="center"/>
    </xf>
    <xf numFmtId="0" fontId="2" fillId="0" borderId="23" xfId="1" applyFont="1" applyBorder="1" applyAlignment="1">
      <alignment vertical="center"/>
    </xf>
    <xf numFmtId="0" fontId="40" fillId="0" borderId="23" xfId="1" applyFont="1" applyFill="1" applyBorder="1" applyAlignment="1">
      <alignment horizontal="left"/>
    </xf>
    <xf numFmtId="0" fontId="2" fillId="0" borderId="23" xfId="1" applyFont="1" applyFill="1" applyBorder="1" applyAlignment="1">
      <alignment horizontal="left"/>
    </xf>
    <xf numFmtId="0" fontId="2" fillId="0" borderId="0" xfId="1" applyFont="1" applyFill="1" applyBorder="1"/>
    <xf numFmtId="0" fontId="0" fillId="0" borderId="58" xfId="0" applyFill="1" applyBorder="1"/>
    <xf numFmtId="164" fontId="1" fillId="4" borderId="1" xfId="1" applyNumberFormat="1" applyFont="1" applyFill="1" applyBorder="1" applyAlignment="1">
      <alignment horizontal="right"/>
    </xf>
    <xf numFmtId="164" fontId="2" fillId="4" borderId="8" xfId="1" applyNumberFormat="1" applyFill="1" applyBorder="1" applyAlignment="1">
      <alignment horizontal="right"/>
    </xf>
    <xf numFmtId="164" fontId="1" fillId="4" borderId="8" xfId="1" applyNumberFormat="1" applyFont="1" applyFill="1" applyBorder="1" applyAlignment="1">
      <alignment horizontal="right"/>
    </xf>
    <xf numFmtId="165" fontId="2" fillId="4" borderId="8" xfId="1" applyNumberFormat="1" applyFont="1" applyFill="1" applyBorder="1" applyAlignment="1">
      <alignment horizontal="right" vertical="center"/>
    </xf>
    <xf numFmtId="0" fontId="1" fillId="6" borderId="37" xfId="1" applyFont="1" applyFill="1" applyBorder="1" applyAlignment="1">
      <alignment horizontal="right" vertical="center"/>
    </xf>
    <xf numFmtId="0" fontId="42" fillId="4" borderId="0" xfId="1" applyFont="1" applyFill="1" applyBorder="1" applyAlignment="1">
      <alignment horizontal="right"/>
    </xf>
    <xf numFmtId="0" fontId="2" fillId="5" borderId="23" xfId="1" applyFont="1" applyFill="1" applyBorder="1" applyAlignment="1">
      <alignment horizontal="left"/>
    </xf>
    <xf numFmtId="2" fontId="44" fillId="0" borderId="17" xfId="1" applyNumberFormat="1" applyFont="1" applyBorder="1" applyAlignment="1">
      <alignment horizontal="center" vertical="top" wrapText="1"/>
    </xf>
    <xf numFmtId="2" fontId="44" fillId="0" borderId="21" xfId="1" applyNumberFormat="1" applyFont="1" applyBorder="1" applyAlignment="1">
      <alignment horizontal="center" vertical="top" wrapText="1"/>
    </xf>
    <xf numFmtId="165" fontId="44" fillId="0" borderId="0" xfId="1" applyNumberFormat="1" applyFont="1" applyBorder="1" applyAlignment="1">
      <alignment horizontal="center" vertical="top" wrapText="1"/>
    </xf>
    <xf numFmtId="2" fontId="6" fillId="0" borderId="2" xfId="1" applyNumberFormat="1" applyFont="1" applyBorder="1" applyAlignment="1">
      <alignment horizontal="center" vertical="top" wrapText="1"/>
    </xf>
    <xf numFmtId="166" fontId="44" fillId="0" borderId="0" xfId="1" applyNumberFormat="1" applyFont="1" applyBorder="1" applyAlignment="1">
      <alignment horizontal="center" vertical="top" wrapText="1"/>
    </xf>
    <xf numFmtId="2" fontId="6" fillId="0" borderId="0" xfId="1" applyNumberFormat="1" applyFont="1" applyBorder="1" applyAlignment="1">
      <alignment horizontal="center" vertical="top" wrapText="1"/>
    </xf>
    <xf numFmtId="0" fontId="0" fillId="12" borderId="0" xfId="0" applyFill="1" applyBorder="1"/>
    <xf numFmtId="165" fontId="2" fillId="4" borderId="2" xfId="1" applyNumberFormat="1" applyFill="1" applyBorder="1" applyAlignment="1">
      <alignment horizontal="right" vertical="center"/>
    </xf>
    <xf numFmtId="0" fontId="2" fillId="0" borderId="21" xfId="1" applyFont="1" applyBorder="1"/>
    <xf numFmtId="0" fontId="44" fillId="0" borderId="0" xfId="1" applyFont="1" applyBorder="1" applyAlignment="1">
      <alignment horizontal="center" vertical="top" wrapText="1"/>
    </xf>
    <xf numFmtId="0" fontId="44" fillId="0" borderId="21" xfId="1" applyFont="1" applyBorder="1" applyAlignment="1">
      <alignment horizontal="center" vertical="top" wrapText="1"/>
    </xf>
    <xf numFmtId="0" fontId="44" fillId="0" borderId="2" xfId="1" applyFont="1" applyBorder="1" applyAlignment="1">
      <alignment horizontal="center" vertical="top" wrapText="1"/>
    </xf>
    <xf numFmtId="0" fontId="44" fillId="0" borderId="46" xfId="1" applyFont="1" applyBorder="1" applyAlignment="1">
      <alignment horizontal="center" vertical="top" wrapText="1"/>
    </xf>
    <xf numFmtId="0" fontId="2" fillId="0" borderId="21" xfId="1" applyBorder="1" applyAlignment="1">
      <alignment horizontal="center"/>
    </xf>
    <xf numFmtId="165" fontId="44" fillId="0" borderId="21" xfId="1" applyNumberFormat="1" applyFont="1" applyBorder="1" applyAlignment="1">
      <alignment horizontal="center" vertical="top" wrapText="1"/>
    </xf>
    <xf numFmtId="166" fontId="44" fillId="0" borderId="21" xfId="1" applyNumberFormat="1" applyFont="1" applyBorder="1" applyAlignment="1">
      <alignment horizontal="center" vertical="top" wrapText="1"/>
    </xf>
    <xf numFmtId="2" fontId="6" fillId="0" borderId="21" xfId="1" applyNumberFormat="1" applyFont="1" applyBorder="1" applyAlignment="1">
      <alignment horizontal="center" vertical="top" wrapText="1"/>
    </xf>
    <xf numFmtId="0" fontId="1" fillId="0" borderId="8" xfId="1" applyFont="1" applyBorder="1" applyAlignment="1">
      <alignment horizontal="right" vertical="center"/>
    </xf>
    <xf numFmtId="165" fontId="2" fillId="0" borderId="2" xfId="1" applyNumberFormat="1" applyFont="1" applyFill="1" applyBorder="1" applyAlignment="1">
      <alignment horizontal="right" vertical="center"/>
    </xf>
    <xf numFmtId="0" fontId="2" fillId="0" borderId="2" xfId="1" applyFont="1" applyFill="1" applyBorder="1" applyAlignment="1">
      <alignment horizontal="right" vertical="center"/>
    </xf>
    <xf numFmtId="165" fontId="2" fillId="8" borderId="39" xfId="1" applyNumberFormat="1" applyFont="1" applyFill="1" applyBorder="1" applyAlignment="1">
      <alignment horizontal="right" vertical="center"/>
    </xf>
    <xf numFmtId="0" fontId="2" fillId="7" borderId="42" xfId="0" applyFont="1" applyFill="1" applyBorder="1" applyAlignment="1">
      <alignment horizontal="left"/>
    </xf>
    <xf numFmtId="0" fontId="1" fillId="0" borderId="31" xfId="0" applyFont="1" applyBorder="1" applyAlignment="1">
      <alignment horizontal="center" vertical="center" textRotation="90"/>
    </xf>
    <xf numFmtId="0" fontId="26" fillId="12" borderId="0" xfId="1" applyFont="1" applyFill="1"/>
    <xf numFmtId="22" fontId="2" fillId="0" borderId="10" xfId="0" applyNumberFormat="1" applyFont="1" applyFill="1" applyBorder="1" applyAlignment="1"/>
    <xf numFmtId="165" fontId="0" fillId="0" borderId="2" xfId="0" applyNumberFormat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22" fontId="0" fillId="0" borderId="6" xfId="0" applyNumberFormat="1" applyFill="1" applyBorder="1" applyAlignment="1"/>
    <xf numFmtId="0" fontId="0" fillId="4" borderId="1" xfId="0" applyFill="1" applyBorder="1" applyAlignment="1">
      <alignment horizontal="right"/>
    </xf>
    <xf numFmtId="0" fontId="1" fillId="4" borderId="1" xfId="0" applyFont="1" applyFill="1" applyBorder="1" applyAlignment="1">
      <alignment horizontal="right"/>
    </xf>
    <xf numFmtId="22" fontId="2" fillId="0" borderId="6" xfId="0" applyNumberFormat="1" applyFont="1" applyFill="1" applyBorder="1" applyAlignment="1"/>
    <xf numFmtId="165" fontId="0" fillId="4" borderId="1" xfId="0" applyNumberFormat="1" applyFill="1" applyBorder="1" applyAlignment="1">
      <alignment horizontal="right"/>
    </xf>
    <xf numFmtId="22" fontId="2" fillId="0" borderId="7" xfId="0" applyNumberFormat="1" applyFont="1" applyFill="1" applyBorder="1"/>
    <xf numFmtId="0" fontId="0" fillId="4" borderId="8" xfId="0" applyFill="1" applyBorder="1" applyAlignment="1">
      <alignment horizontal="right"/>
    </xf>
    <xf numFmtId="165" fontId="0" fillId="4" borderId="8" xfId="0" applyNumberFormat="1" applyFill="1" applyBorder="1" applyAlignment="1">
      <alignment horizontal="right"/>
    </xf>
    <xf numFmtId="0" fontId="1" fillId="4" borderId="8" xfId="0" applyFont="1" applyFill="1" applyBorder="1" applyAlignment="1">
      <alignment horizontal="right"/>
    </xf>
    <xf numFmtId="1" fontId="1" fillId="6" borderId="42" xfId="0" applyNumberFormat="1" applyFont="1" applyFill="1" applyBorder="1" applyAlignment="1">
      <alignment vertical="center"/>
    </xf>
    <xf numFmtId="0" fontId="2" fillId="4" borderId="13" xfId="0" applyFont="1" applyFill="1" applyBorder="1" applyAlignment="1">
      <alignment horizontal="right"/>
    </xf>
    <xf numFmtId="0" fontId="40" fillId="0" borderId="23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right"/>
    </xf>
    <xf numFmtId="0" fontId="0" fillId="7" borderId="43" xfId="0" applyFill="1" applyBorder="1"/>
    <xf numFmtId="0" fontId="0" fillId="7" borderId="23" xfId="0" applyFill="1" applyBorder="1"/>
    <xf numFmtId="2" fontId="1" fillId="5" borderId="42" xfId="0" applyNumberFormat="1" applyFont="1" applyFill="1" applyBorder="1"/>
    <xf numFmtId="0" fontId="1" fillId="0" borderId="0" xfId="0" applyFont="1" applyFill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30" fillId="9" borderId="17" xfId="0" applyFont="1" applyFill="1" applyBorder="1" applyAlignment="1" applyProtection="1">
      <alignment horizontal="center"/>
    </xf>
    <xf numFmtId="0" fontId="10" fillId="9" borderId="13" xfId="0" applyFont="1" applyFill="1" applyBorder="1" applyAlignment="1" applyProtection="1">
      <alignment horizontal="center"/>
    </xf>
    <xf numFmtId="0" fontId="10" fillId="9" borderId="17" xfId="0" applyFont="1" applyFill="1" applyBorder="1" applyAlignment="1" applyProtection="1">
      <alignment horizontal="center"/>
    </xf>
    <xf numFmtId="0" fontId="31" fillId="9" borderId="17" xfId="0" applyFont="1" applyFill="1" applyBorder="1" applyAlignment="1" applyProtection="1">
      <alignment horizontal="center"/>
    </xf>
    <xf numFmtId="0" fontId="31" fillId="0" borderId="0" xfId="0" applyFont="1" applyFill="1" applyBorder="1" applyAlignment="1" applyProtection="1">
      <alignment horizontal="center"/>
      <protection locked="0"/>
    </xf>
    <xf numFmtId="0" fontId="1" fillId="0" borderId="46" xfId="0" applyFont="1" applyFill="1" applyBorder="1" applyAlignment="1" applyProtection="1">
      <alignment horizontal="center"/>
      <protection locked="0"/>
    </xf>
    <xf numFmtId="0" fontId="2" fillId="9" borderId="21" xfId="0" applyFont="1" applyFill="1" applyBorder="1" applyAlignment="1" applyProtection="1">
      <alignment horizontal="center"/>
    </xf>
    <xf numFmtId="0" fontId="30" fillId="9" borderId="0" xfId="0" applyFont="1" applyFill="1" applyBorder="1" applyAlignment="1" applyProtection="1">
      <alignment horizontal="center"/>
    </xf>
    <xf numFmtId="0" fontId="31" fillId="9" borderId="21" xfId="0" applyFont="1" applyFill="1" applyBorder="1" applyAlignment="1" applyProtection="1">
      <alignment horizontal="center"/>
    </xf>
    <xf numFmtId="0" fontId="14" fillId="9" borderId="21" xfId="0" applyFont="1" applyFill="1" applyBorder="1" applyAlignment="1" applyProtection="1">
      <alignment horizontal="center"/>
    </xf>
    <xf numFmtId="0" fontId="14" fillId="0" borderId="0" xfId="0" applyFont="1" applyFill="1" applyBorder="1" applyAlignment="1" applyProtection="1">
      <alignment horizontal="center"/>
      <protection locked="0"/>
    </xf>
    <xf numFmtId="0" fontId="2" fillId="0" borderId="18" xfId="0" applyFont="1" applyFill="1" applyBorder="1" applyAlignment="1" applyProtection="1">
      <alignment horizontal="left"/>
      <protection locked="0"/>
    </xf>
    <xf numFmtId="0" fontId="2" fillId="0" borderId="42" xfId="0" applyFont="1" applyFill="1" applyBorder="1" applyAlignment="1" applyProtection="1">
      <alignment horizontal="left"/>
      <protection locked="0"/>
    </xf>
    <xf numFmtId="0" fontId="2" fillId="4" borderId="43" xfId="0" applyFont="1" applyFill="1" applyBorder="1" applyAlignment="1" applyProtection="1">
      <alignment horizontal="left"/>
      <protection locked="0"/>
    </xf>
    <xf numFmtId="14" fontId="2" fillId="4" borderId="43" xfId="0" applyNumberFormat="1" applyFont="1" applyFill="1" applyBorder="1" applyAlignment="1" applyProtection="1">
      <alignment horizontal="left"/>
      <protection locked="0"/>
    </xf>
    <xf numFmtId="0" fontId="2" fillId="0" borderId="43" xfId="0" applyFont="1" applyFill="1" applyBorder="1" applyAlignment="1" applyProtection="1">
      <alignment horizontal="left"/>
      <protection locked="0"/>
    </xf>
    <xf numFmtId="0" fontId="0" fillId="4" borderId="23" xfId="0" applyFill="1" applyBorder="1" applyProtection="1">
      <protection locked="0"/>
    </xf>
    <xf numFmtId="0" fontId="2" fillId="9" borderId="10" xfId="0" applyFont="1" applyFill="1" applyBorder="1" applyAlignment="1" applyProtection="1">
      <alignment horizontal="right" vertical="center" wrapText="1"/>
    </xf>
    <xf numFmtId="0" fontId="2" fillId="9" borderId="16" xfId="0" applyFont="1" applyFill="1" applyBorder="1" applyAlignment="1" applyProtection="1">
      <alignment horizontal="right" vertical="center" wrapText="1"/>
    </xf>
    <xf numFmtId="0" fontId="10" fillId="9" borderId="2" xfId="0" applyFont="1" applyFill="1" applyBorder="1" applyAlignment="1" applyProtection="1">
      <alignment horizontal="center"/>
    </xf>
    <xf numFmtId="0" fontId="10" fillId="9" borderId="2" xfId="0" applyFont="1" applyFill="1" applyBorder="1" applyAlignment="1" applyProtection="1">
      <alignment horizontal="center" vertical="center" wrapText="1"/>
    </xf>
    <xf numFmtId="0" fontId="1" fillId="9" borderId="2" xfId="0" applyFont="1" applyFill="1" applyBorder="1" applyAlignment="1" applyProtection="1">
      <alignment horizontal="center"/>
    </xf>
    <xf numFmtId="0" fontId="2" fillId="9" borderId="46" xfId="0" applyFont="1" applyFill="1" applyBorder="1" applyAlignment="1" applyProtection="1">
      <alignment horizontal="center"/>
    </xf>
    <xf numFmtId="0" fontId="2" fillId="9" borderId="2" xfId="0" applyFont="1" applyFill="1" applyBorder="1" applyAlignment="1" applyProtection="1">
      <alignment horizontal="center"/>
    </xf>
    <xf numFmtId="0" fontId="2" fillId="9" borderId="16" xfId="0" applyFont="1" applyFill="1" applyBorder="1" applyAlignment="1" applyProtection="1">
      <alignment horizontal="center"/>
    </xf>
    <xf numFmtId="0" fontId="2" fillId="0" borderId="0" xfId="0" applyFont="1" applyFill="1" applyBorder="1" applyAlignment="1" applyProtection="1">
      <alignment horizontal="center"/>
      <protection locked="0"/>
    </xf>
    <xf numFmtId="0" fontId="31" fillId="9" borderId="19" xfId="0" applyFont="1" applyFill="1" applyBorder="1" applyAlignment="1" applyProtection="1">
      <alignment horizontal="center"/>
      <protection locked="0"/>
    </xf>
    <xf numFmtId="0" fontId="31" fillId="9" borderId="21" xfId="0" applyFont="1" applyFill="1" applyBorder="1" applyAlignment="1" applyProtection="1">
      <alignment horizontal="center"/>
      <protection locked="0"/>
    </xf>
    <xf numFmtId="0" fontId="2" fillId="0" borderId="42" xfId="0" applyFont="1" applyBorder="1" applyAlignment="1" applyProtection="1">
      <alignment horizontal="left"/>
      <protection locked="0"/>
    </xf>
    <xf numFmtId="0" fontId="2" fillId="4" borderId="43" xfId="0" applyFont="1" applyFill="1" applyBorder="1" applyProtection="1">
      <protection locked="0"/>
    </xf>
    <xf numFmtId="0" fontId="2" fillId="0" borderId="15" xfId="0" applyFont="1" applyFill="1" applyBorder="1" applyAlignment="1" applyProtection="1">
      <alignment horizontal="left"/>
      <protection locked="0"/>
    </xf>
    <xf numFmtId="0" fontId="2" fillId="8" borderId="43" xfId="0" applyFont="1" applyFill="1" applyBorder="1" applyAlignment="1" applyProtection="1">
      <alignment horizontal="left"/>
      <protection locked="0"/>
    </xf>
    <xf numFmtId="0" fontId="0" fillId="8" borderId="23" xfId="0" applyFill="1" applyBorder="1" applyProtection="1">
      <protection locked="0"/>
    </xf>
    <xf numFmtId="1" fontId="0" fillId="0" borderId="6" xfId="0" applyNumberFormat="1" applyFill="1" applyBorder="1" applyAlignment="1" applyProtection="1"/>
    <xf numFmtId="165" fontId="0" fillId="0" borderId="1" xfId="0" applyNumberFormat="1" applyBorder="1" applyAlignment="1" applyProtection="1">
      <alignment horizontal="right"/>
    </xf>
    <xf numFmtId="0" fontId="0" fillId="4" borderId="1" xfId="0" applyFill="1" applyBorder="1" applyProtection="1">
      <protection locked="0"/>
    </xf>
    <xf numFmtId="164" fontId="0" fillId="4" borderId="1" xfId="0" applyNumberFormat="1" applyFill="1" applyBorder="1" applyAlignment="1" applyProtection="1">
      <alignment horizontal="right"/>
      <protection locked="0"/>
    </xf>
    <xf numFmtId="0" fontId="13" fillId="4" borderId="1" xfId="0" applyFont="1" applyFill="1" applyBorder="1" applyAlignment="1" applyProtection="1">
      <alignment horizontal="right"/>
      <protection locked="0"/>
    </xf>
    <xf numFmtId="165" fontId="13" fillId="0" borderId="1" xfId="0" applyNumberFormat="1" applyFont="1" applyBorder="1" applyAlignment="1" applyProtection="1">
      <alignment horizontal="right"/>
    </xf>
    <xf numFmtId="164" fontId="1" fillId="0" borderId="1" xfId="0" applyNumberFormat="1" applyFont="1" applyFill="1" applyBorder="1" applyAlignment="1" applyProtection="1">
      <alignment horizontal="center"/>
    </xf>
    <xf numFmtId="165" fontId="1" fillId="0" borderId="5" xfId="0" applyNumberFormat="1" applyFont="1" applyBorder="1" applyAlignment="1" applyProtection="1">
      <alignment horizontal="right"/>
    </xf>
    <xf numFmtId="164" fontId="0" fillId="0" borderId="2" xfId="0" applyNumberFormat="1" applyBorder="1" applyAlignment="1" applyProtection="1">
      <alignment horizontal="center"/>
    </xf>
    <xf numFmtId="167" fontId="0" fillId="0" borderId="2" xfId="0" applyNumberFormat="1" applyBorder="1" applyAlignment="1" applyProtection="1">
      <alignment horizontal="center"/>
    </xf>
    <xf numFmtId="2" fontId="2" fillId="0" borderId="1" xfId="0" applyNumberFormat="1" applyFont="1" applyFill="1" applyBorder="1" applyAlignment="1" applyProtection="1">
      <alignment horizontal="center"/>
    </xf>
    <xf numFmtId="165" fontId="2" fillId="0" borderId="2" xfId="0" applyNumberFormat="1" applyFont="1" applyFill="1" applyBorder="1" applyAlignment="1" applyProtection="1">
      <alignment horizontal="center"/>
    </xf>
    <xf numFmtId="166" fontId="2" fillId="0" borderId="1" xfId="0" applyNumberFormat="1" applyFont="1" applyFill="1" applyBorder="1" applyAlignment="1" applyProtection="1">
      <alignment horizontal="center"/>
    </xf>
    <xf numFmtId="0" fontId="2" fillId="9" borderId="15" xfId="0" applyFont="1" applyFill="1" applyBorder="1" applyAlignment="1" applyProtection="1">
      <alignment horizontal="center"/>
      <protection locked="0"/>
    </xf>
    <xf numFmtId="0" fontId="2" fillId="9" borderId="2" xfId="0" applyFont="1" applyFill="1" applyBorder="1" applyAlignment="1" applyProtection="1">
      <alignment horizontal="center"/>
      <protection locked="0"/>
    </xf>
    <xf numFmtId="0" fontId="13" fillId="4" borderId="43" xfId="0" applyFont="1" applyFill="1" applyBorder="1" applyAlignment="1" applyProtection="1">
      <alignment horizontal="left"/>
      <protection locked="0"/>
    </xf>
    <xf numFmtId="0" fontId="13" fillId="4" borderId="23" xfId="0" applyFont="1" applyFill="1" applyBorder="1" applyProtection="1">
      <protection locked="0"/>
    </xf>
    <xf numFmtId="0" fontId="2" fillId="0" borderId="19" xfId="0" applyFont="1" applyFill="1" applyBorder="1" applyAlignment="1" applyProtection="1">
      <alignment horizontal="left"/>
      <protection locked="0"/>
    </xf>
    <xf numFmtId="0" fontId="13" fillId="4" borderId="0" xfId="0" applyFont="1" applyFill="1" applyBorder="1" applyAlignment="1" applyProtection="1">
      <alignment horizontal="left"/>
      <protection locked="0"/>
    </xf>
    <xf numFmtId="0" fontId="28" fillId="4" borderId="20" xfId="0" applyFont="1" applyFill="1" applyBorder="1" applyAlignment="1" applyProtection="1">
      <alignment horizontal="center"/>
      <protection locked="0"/>
    </xf>
    <xf numFmtId="1" fontId="0" fillId="0" borderId="1" xfId="0" applyNumberFormat="1" applyBorder="1" applyAlignment="1" applyProtection="1">
      <alignment horizontal="right"/>
    </xf>
    <xf numFmtId="0" fontId="0" fillId="0" borderId="0" xfId="0" applyFill="1" applyBorder="1" applyProtection="1">
      <protection locked="0"/>
    </xf>
    <xf numFmtId="0" fontId="0" fillId="0" borderId="2" xfId="0" applyBorder="1" applyAlignment="1" applyProtection="1">
      <alignment horizontal="center"/>
    </xf>
    <xf numFmtId="0" fontId="0" fillId="0" borderId="1" xfId="0" applyBorder="1" applyAlignment="1" applyProtection="1">
      <alignment horizontal="center"/>
    </xf>
    <xf numFmtId="165" fontId="0" fillId="0" borderId="16" xfId="0" applyNumberFormat="1" applyBorder="1" applyAlignment="1" applyProtection="1">
      <alignment horizontal="center"/>
    </xf>
    <xf numFmtId="0" fontId="13" fillId="0" borderId="1" xfId="0" applyFont="1" applyBorder="1" applyAlignment="1" applyProtection="1">
      <alignment horizontal="left"/>
      <protection locked="0"/>
    </xf>
    <xf numFmtId="0" fontId="13" fillId="0" borderId="42" xfId="0" applyFont="1" applyBorder="1" applyAlignment="1" applyProtection="1">
      <alignment horizontal="left"/>
      <protection locked="0"/>
    </xf>
    <xf numFmtId="0" fontId="13" fillId="4" borderId="43" xfId="0" applyFont="1" applyFill="1" applyBorder="1" applyProtection="1">
      <protection locked="0"/>
    </xf>
    <xf numFmtId="0" fontId="2" fillId="0" borderId="43" xfId="0" applyFont="1" applyBorder="1" applyAlignment="1" applyProtection="1">
      <alignment horizontal="left"/>
      <protection locked="0"/>
    </xf>
    <xf numFmtId="0" fontId="0" fillId="4" borderId="23" xfId="0" applyFill="1" applyBorder="1" applyAlignment="1" applyProtection="1">
      <alignment horizontal="right"/>
      <protection locked="0"/>
    </xf>
    <xf numFmtId="0" fontId="11" fillId="0" borderId="0" xfId="0" applyFont="1" applyBorder="1" applyAlignment="1" applyProtection="1">
      <alignment horizontal="left"/>
      <protection locked="0"/>
    </xf>
    <xf numFmtId="0" fontId="11" fillId="0" borderId="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65" fontId="0" fillId="4" borderId="1" xfId="0" applyNumberFormat="1" applyFill="1" applyBorder="1" applyProtection="1">
      <protection locked="0"/>
    </xf>
    <xf numFmtId="0" fontId="1" fillId="3" borderId="24" xfId="0" applyFont="1" applyFill="1" applyBorder="1" applyAlignment="1" applyProtection="1">
      <alignment horizontal="left" vertical="center"/>
      <protection locked="0"/>
    </xf>
    <xf numFmtId="0" fontId="0" fillId="0" borderId="27" xfId="0" applyBorder="1" applyAlignment="1" applyProtection="1">
      <alignment horizontal="left"/>
      <protection locked="0"/>
    </xf>
    <xf numFmtId="0" fontId="1" fillId="3" borderId="36" xfId="0" applyFont="1" applyFill="1" applyBorder="1" applyAlignment="1" applyProtection="1">
      <alignment horizontal="right" vertical="center" wrapText="1"/>
      <protection locked="0"/>
    </xf>
    <xf numFmtId="0" fontId="1" fillId="3" borderId="12" xfId="0" applyFont="1" applyFill="1" applyBorder="1" applyAlignment="1" applyProtection="1">
      <alignment horizontal="right" vertical="center" wrapText="1"/>
      <protection locked="0"/>
    </xf>
    <xf numFmtId="0" fontId="0" fillId="0" borderId="37" xfId="0" applyBorder="1" applyAlignment="1" applyProtection="1">
      <alignment horizontal="left"/>
      <protection locked="0"/>
    </xf>
    <xf numFmtId="0" fontId="0" fillId="0" borderId="38" xfId="0" applyBorder="1" applyAlignment="1" applyProtection="1">
      <alignment horizontal="left"/>
      <protection locked="0"/>
    </xf>
    <xf numFmtId="0" fontId="1" fillId="3" borderId="10" xfId="0" applyFont="1" applyFill="1" applyBorder="1" applyAlignment="1" applyProtection="1">
      <alignment horizontal="right" vertical="center" wrapText="1"/>
      <protection locked="0"/>
    </xf>
    <xf numFmtId="0" fontId="1" fillId="3" borderId="2" xfId="0" applyFont="1" applyFill="1" applyBorder="1" applyAlignment="1" applyProtection="1">
      <alignment horizontal="right" vertical="center" wrapText="1"/>
      <protection locked="0"/>
    </xf>
    <xf numFmtId="0" fontId="1" fillId="0" borderId="32" xfId="0" applyFont="1" applyBorder="1" applyAlignment="1" applyProtection="1">
      <alignment horizontal="right" vertical="center"/>
      <protection locked="0"/>
    </xf>
    <xf numFmtId="0" fontId="0" fillId="0" borderId="33" xfId="0" applyBorder="1" applyAlignment="1" applyProtection="1">
      <alignment horizontal="right"/>
      <protection locked="0"/>
    </xf>
    <xf numFmtId="0" fontId="1" fillId="0" borderId="22" xfId="0" applyFont="1" applyBorder="1" applyAlignment="1" applyProtection="1">
      <alignment horizontal="right" vertical="center"/>
      <protection locked="0"/>
    </xf>
    <xf numFmtId="0" fontId="1" fillId="0" borderId="3" xfId="0" applyFont="1" applyBorder="1" applyAlignment="1" applyProtection="1">
      <alignment horizontal="right" vertical="center"/>
      <protection locked="0"/>
    </xf>
    <xf numFmtId="0" fontId="1" fillId="0" borderId="4" xfId="0" applyFont="1" applyBorder="1" applyAlignment="1" applyProtection="1">
      <alignment horizontal="right" vertical="center"/>
      <protection locked="0"/>
    </xf>
    <xf numFmtId="0" fontId="1" fillId="0" borderId="39" xfId="0" applyFont="1" applyBorder="1" applyAlignment="1" applyProtection="1">
      <alignment horizontal="right"/>
    </xf>
    <xf numFmtId="0" fontId="2" fillId="0" borderId="36" xfId="0" applyFont="1" applyBorder="1" applyAlignment="1" applyProtection="1">
      <alignment horizontal="right" vertical="center"/>
    </xf>
    <xf numFmtId="165" fontId="2" fillId="4" borderId="12" xfId="0" applyNumberFormat="1" applyFont="1" applyFill="1" applyBorder="1" applyAlignment="1" applyProtection="1">
      <alignment horizontal="right" vertical="center"/>
      <protection locked="0"/>
    </xf>
    <xf numFmtId="165" fontId="2" fillId="0" borderId="12" xfId="0" applyNumberFormat="1" applyFont="1" applyFill="1" applyBorder="1" applyAlignment="1" applyProtection="1">
      <alignment horizontal="right" vertical="center"/>
    </xf>
    <xf numFmtId="165" fontId="0" fillId="0" borderId="2" xfId="0" applyNumberFormat="1" applyBorder="1" applyAlignment="1" applyProtection="1">
      <alignment horizontal="right" vertical="center"/>
    </xf>
    <xf numFmtId="165" fontId="12" fillId="0" borderId="30" xfId="0" applyNumberFormat="1" applyFont="1" applyBorder="1" applyAlignment="1" applyProtection="1">
      <alignment horizontal="right" vertical="center"/>
    </xf>
    <xf numFmtId="0" fontId="1" fillId="0" borderId="47" xfId="0" applyFont="1" applyBorder="1" applyAlignment="1" applyProtection="1">
      <alignment horizontal="right" vertical="center"/>
    </xf>
    <xf numFmtId="0" fontId="2" fillId="0" borderId="20" xfId="0" applyFont="1" applyBorder="1" applyAlignment="1" applyProtection="1">
      <alignment horizontal="right" vertical="center"/>
    </xf>
    <xf numFmtId="165" fontId="2" fillId="4" borderId="21" xfId="0" applyNumberFormat="1" applyFont="1" applyFill="1" applyBorder="1" applyAlignment="1" applyProtection="1">
      <alignment horizontal="right" vertical="center"/>
      <protection locked="0"/>
    </xf>
    <xf numFmtId="165" fontId="2" fillId="0" borderId="21" xfId="0" applyNumberFormat="1" applyFont="1" applyFill="1" applyBorder="1" applyAlignment="1" applyProtection="1">
      <alignment horizontal="right" vertical="center"/>
    </xf>
    <xf numFmtId="165" fontId="1" fillId="0" borderId="11" xfId="0" applyNumberFormat="1" applyFont="1" applyBorder="1" applyAlignment="1" applyProtection="1">
      <alignment horizontal="right" vertical="center"/>
    </xf>
    <xf numFmtId="1" fontId="0" fillId="0" borderId="7" xfId="0" applyNumberFormat="1" applyFill="1" applyBorder="1" applyAlignment="1" applyProtection="1"/>
    <xf numFmtId="1" fontId="0" fillId="0" borderId="8" xfId="0" applyNumberFormat="1" applyBorder="1" applyAlignment="1" applyProtection="1">
      <alignment horizontal="right"/>
    </xf>
    <xf numFmtId="164" fontId="0" fillId="4" borderId="8" xfId="0" applyNumberFormat="1" applyFill="1" applyBorder="1" applyAlignment="1" applyProtection="1">
      <alignment horizontal="right"/>
      <protection locked="0"/>
    </xf>
    <xf numFmtId="165" fontId="0" fillId="0" borderId="8" xfId="0" applyNumberFormat="1" applyBorder="1" applyAlignment="1" applyProtection="1">
      <alignment horizontal="right"/>
    </xf>
    <xf numFmtId="165" fontId="13" fillId="0" borderId="8" xfId="0" applyNumberFormat="1" applyFont="1" applyBorder="1" applyAlignment="1" applyProtection="1">
      <alignment horizontal="right"/>
    </xf>
    <xf numFmtId="164" fontId="1" fillId="0" borderId="8" xfId="0" applyNumberFormat="1" applyFont="1" applyFill="1" applyBorder="1" applyAlignment="1" applyProtection="1">
      <alignment horizontal="center"/>
    </xf>
    <xf numFmtId="165" fontId="1" fillId="0" borderId="9" xfId="0" applyNumberFormat="1" applyFont="1" applyBorder="1" applyAlignment="1" applyProtection="1">
      <alignment horizontal="right"/>
    </xf>
    <xf numFmtId="0" fontId="1" fillId="0" borderId="40" xfId="0" applyFont="1" applyBorder="1" applyAlignment="1" applyProtection="1">
      <alignment horizontal="right" vertical="center"/>
    </xf>
    <xf numFmtId="0" fontId="2" fillId="0" borderId="23" xfId="0" applyFont="1" applyBorder="1" applyAlignment="1" applyProtection="1">
      <alignment horizontal="right" vertical="center"/>
    </xf>
    <xf numFmtId="165" fontId="2" fillId="4" borderId="1" xfId="0" applyNumberFormat="1" applyFont="1" applyFill="1" applyBorder="1" applyAlignment="1" applyProtection="1">
      <alignment horizontal="right" vertical="center"/>
      <protection locked="0"/>
    </xf>
    <xf numFmtId="165" fontId="2" fillId="0" borderId="1" xfId="0" applyNumberFormat="1" applyFont="1" applyFill="1" applyBorder="1" applyAlignment="1" applyProtection="1">
      <alignment horizontal="right" vertical="center"/>
    </xf>
    <xf numFmtId="165" fontId="1" fillId="0" borderId="5" xfId="0" applyNumberFormat="1" applyFont="1" applyBorder="1" applyAlignment="1" applyProtection="1">
      <alignment horizontal="right" vertical="center"/>
    </xf>
    <xf numFmtId="0" fontId="1" fillId="0" borderId="33" xfId="0" applyFont="1" applyBorder="1" applyAlignment="1" applyProtection="1">
      <alignment horizontal="right" vertical="center"/>
    </xf>
    <xf numFmtId="0" fontId="2" fillId="0" borderId="14" xfId="0" applyFont="1" applyBorder="1" applyAlignment="1" applyProtection="1">
      <alignment horizontal="right" vertical="center"/>
    </xf>
    <xf numFmtId="165" fontId="2" fillId="4" borderId="17" xfId="0" applyNumberFormat="1" applyFont="1" applyFill="1" applyBorder="1" applyAlignment="1" applyProtection="1">
      <alignment horizontal="right" vertical="center"/>
      <protection locked="0"/>
    </xf>
    <xf numFmtId="165" fontId="0" fillId="0" borderId="8" xfId="0" applyNumberFormat="1" applyBorder="1" applyAlignment="1" applyProtection="1">
      <alignment horizontal="right" vertical="center"/>
    </xf>
    <xf numFmtId="165" fontId="1" fillId="0" borderId="9" xfId="0" applyNumberFormat="1" applyFont="1" applyBorder="1" applyAlignment="1" applyProtection="1">
      <alignment horizontal="right" vertical="center"/>
    </xf>
    <xf numFmtId="0" fontId="0" fillId="0" borderId="0" xfId="0" applyBorder="1" applyProtection="1">
      <protection locked="0"/>
    </xf>
    <xf numFmtId="0" fontId="1" fillId="0" borderId="39" xfId="0" applyFont="1" applyBorder="1" applyAlignment="1" applyProtection="1">
      <alignment horizontal="right" vertical="center"/>
    </xf>
    <xf numFmtId="0" fontId="2" fillId="0" borderId="29" xfId="0" applyFont="1" applyBorder="1" applyAlignment="1" applyProtection="1">
      <alignment horizontal="right" vertical="center"/>
    </xf>
    <xf numFmtId="165" fontId="0" fillId="4" borderId="12" xfId="0" applyNumberFormat="1" applyFill="1" applyBorder="1" applyAlignment="1" applyProtection="1">
      <alignment horizontal="right" vertical="center"/>
      <protection locked="0"/>
    </xf>
    <xf numFmtId="0" fontId="2" fillId="0" borderId="41" xfId="0" applyFont="1" applyFill="1" applyBorder="1" applyAlignment="1" applyProtection="1">
      <alignment horizontal="right" vertical="center"/>
    </xf>
    <xf numFmtId="165" fontId="1" fillId="0" borderId="40" xfId="0" applyNumberFormat="1" applyFont="1" applyBorder="1" applyAlignment="1" applyProtection="1">
      <alignment horizontal="right" vertical="center"/>
    </xf>
    <xf numFmtId="0" fontId="2" fillId="0" borderId="1" xfId="0" applyFont="1" applyFill="1" applyBorder="1" applyAlignment="1" applyProtection="1">
      <alignment horizontal="right" vertical="center"/>
    </xf>
    <xf numFmtId="0" fontId="2" fillId="0" borderId="21" xfId="0" applyFont="1" applyFill="1" applyBorder="1" applyAlignment="1" applyProtection="1">
      <alignment horizontal="right" vertical="center"/>
    </xf>
    <xf numFmtId="2" fontId="1" fillId="0" borderId="40" xfId="0" applyNumberFormat="1" applyFont="1" applyBorder="1" applyAlignment="1" applyProtection="1">
      <alignment horizontal="right" vertical="center"/>
    </xf>
    <xf numFmtId="165" fontId="1" fillId="0" borderId="45" xfId="0" applyNumberFormat="1" applyFont="1" applyBorder="1" applyAlignment="1" applyProtection="1">
      <alignment horizontal="right" vertical="center"/>
    </xf>
    <xf numFmtId="166" fontId="1" fillId="0" borderId="40" xfId="0" applyNumberFormat="1" applyFont="1" applyBorder="1" applyAlignment="1" applyProtection="1">
      <alignment horizontal="right" vertical="center"/>
    </xf>
    <xf numFmtId="165" fontId="0" fillId="0" borderId="1" xfId="0" applyNumberFormat="1" applyBorder="1" applyAlignment="1" applyProtection="1">
      <alignment horizontal="right" vertical="center"/>
    </xf>
    <xf numFmtId="165" fontId="1" fillId="5" borderId="40" xfId="0" applyNumberFormat="1" applyFont="1" applyFill="1" applyBorder="1" applyAlignment="1" applyProtection="1">
      <alignment horizontal="right" vertical="center"/>
    </xf>
    <xf numFmtId="0" fontId="1" fillId="0" borderId="31" xfId="0" applyFont="1" applyBorder="1" applyAlignment="1" applyProtection="1">
      <alignment horizontal="center" vertical="center" textRotation="90"/>
    </xf>
    <xf numFmtId="165" fontId="2" fillId="0" borderId="26" xfId="0" applyNumberFormat="1" applyFont="1" applyBorder="1" applyAlignment="1" applyProtection="1">
      <alignment horizontal="right" vertical="center"/>
    </xf>
    <xf numFmtId="165" fontId="2" fillId="0" borderId="8" xfId="0" applyNumberFormat="1" applyFont="1" applyFill="1" applyBorder="1" applyAlignment="1" applyProtection="1">
      <alignment horizontal="right" vertical="center"/>
    </xf>
    <xf numFmtId="0" fontId="2" fillId="8" borderId="39" xfId="0" applyFont="1" applyFill="1" applyBorder="1" applyAlignment="1" applyProtection="1">
      <alignment horizontal="right" vertical="center"/>
      <protection locked="0"/>
    </xf>
    <xf numFmtId="0" fontId="1" fillId="6" borderId="44" xfId="0" applyFont="1" applyFill="1" applyBorder="1" applyAlignment="1" applyProtection="1">
      <alignment horizontal="right" vertical="center"/>
    </xf>
    <xf numFmtId="165" fontId="1" fillId="6" borderId="12" xfId="0" applyNumberFormat="1" applyFont="1" applyFill="1" applyBorder="1" applyAlignment="1" applyProtection="1">
      <alignment horizontal="right" vertical="center"/>
    </xf>
    <xf numFmtId="165" fontId="0" fillId="6" borderId="30" xfId="0" applyNumberFormat="1" applyFill="1" applyBorder="1" applyAlignment="1" applyProtection="1">
      <alignment horizontal="right" vertical="center"/>
    </xf>
    <xf numFmtId="0" fontId="2" fillId="6" borderId="39" xfId="0" applyFont="1" applyFill="1" applyBorder="1" applyAlignment="1" applyProtection="1">
      <alignment horizontal="right" vertical="center"/>
    </xf>
    <xf numFmtId="166" fontId="0" fillId="6" borderId="49" xfId="0" applyNumberFormat="1" applyFill="1" applyBorder="1" applyAlignment="1" applyProtection="1">
      <alignment vertical="center"/>
    </xf>
    <xf numFmtId="0" fontId="1" fillId="6" borderId="7" xfId="0" applyFont="1" applyFill="1" applyBorder="1" applyAlignment="1" applyProtection="1">
      <alignment horizontal="right" vertical="center"/>
    </xf>
    <xf numFmtId="165" fontId="1" fillId="6" borderId="26" xfId="0" applyNumberFormat="1" applyFont="1" applyFill="1" applyBorder="1" applyAlignment="1" applyProtection="1">
      <alignment horizontal="right" vertical="center"/>
    </xf>
    <xf numFmtId="2" fontId="12" fillId="6" borderId="9" xfId="0" applyNumberFormat="1" applyFont="1" applyFill="1" applyBorder="1" applyAlignment="1" applyProtection="1">
      <alignment horizontal="right" vertical="center"/>
    </xf>
    <xf numFmtId="0" fontId="2" fillId="6" borderId="33" xfId="0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/>
      <protection locked="0"/>
    </xf>
    <xf numFmtId="165" fontId="8" fillId="0" borderId="0" xfId="0" applyNumberFormat="1" applyFont="1" applyBorder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0" fontId="2" fillId="7" borderId="0" xfId="0" applyFont="1" applyFill="1" applyAlignment="1" applyProtection="1">
      <alignment horizontal="left" vertical="center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vertical="center"/>
      <protection locked="0"/>
    </xf>
    <xf numFmtId="0" fontId="0" fillId="0" borderId="13" xfId="0" applyBorder="1" applyAlignment="1" applyProtection="1">
      <alignment vertical="center"/>
      <protection locked="0"/>
    </xf>
    <xf numFmtId="1" fontId="1" fillId="6" borderId="1" xfId="0" applyNumberFormat="1" applyFont="1" applyFill="1" applyBorder="1" applyAlignment="1" applyProtection="1">
      <alignment vertical="center"/>
    </xf>
    <xf numFmtId="0" fontId="2" fillId="0" borderId="23" xfId="0" applyFont="1" applyBorder="1" applyAlignment="1" applyProtection="1">
      <alignment vertical="center"/>
    </xf>
    <xf numFmtId="0" fontId="1" fillId="0" borderId="0" xfId="0" applyFont="1" applyFill="1" applyBorder="1" applyAlignment="1" applyProtection="1">
      <alignment vertical="center"/>
      <protection locked="0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7" borderId="43" xfId="0" applyFont="1" applyFill="1" applyBorder="1" applyAlignment="1" applyProtection="1">
      <alignment horizontal="center"/>
      <protection locked="0"/>
    </xf>
    <xf numFmtId="0" fontId="0" fillId="0" borderId="23" xfId="0" applyBorder="1" applyProtection="1">
      <protection locked="0"/>
    </xf>
    <xf numFmtId="0" fontId="2" fillId="4" borderId="1" xfId="0" applyFont="1" applyFill="1" applyBorder="1" applyAlignment="1" applyProtection="1">
      <alignment horizontal="right"/>
      <protection locked="0"/>
    </xf>
    <xf numFmtId="0" fontId="2" fillId="0" borderId="23" xfId="0" applyFont="1" applyFill="1" applyBorder="1" applyAlignment="1" applyProtection="1">
      <alignment horizontal="left"/>
    </xf>
    <xf numFmtId="0" fontId="2" fillId="5" borderId="23" xfId="0" applyFont="1" applyFill="1" applyBorder="1" applyAlignment="1" applyProtection="1">
      <alignment horizontal="left"/>
    </xf>
    <xf numFmtId="0" fontId="2" fillId="0" borderId="0" xfId="0" applyFont="1" applyFill="1" applyBorder="1" applyProtection="1">
      <protection locked="0"/>
    </xf>
    <xf numFmtId="0" fontId="2" fillId="0" borderId="20" xfId="0" applyFont="1" applyFill="1" applyBorder="1" applyAlignment="1" applyProtection="1">
      <alignment horizontal="left"/>
    </xf>
    <xf numFmtId="2" fontId="1" fillId="5" borderId="1" xfId="0" applyNumberFormat="1" applyFont="1" applyFill="1" applyBorder="1" applyProtection="1"/>
    <xf numFmtId="0" fontId="1" fillId="0" borderId="23" xfId="0" applyFont="1" applyFill="1" applyBorder="1" applyAlignment="1" applyProtection="1">
      <alignment horizontal="left"/>
    </xf>
    <xf numFmtId="165" fontId="44" fillId="0" borderId="21" xfId="0" applyNumberFormat="1" applyFont="1" applyBorder="1" applyAlignment="1" applyProtection="1">
      <alignment horizontal="center" vertical="top" wrapText="1"/>
      <protection locked="0"/>
    </xf>
    <xf numFmtId="166" fontId="44" fillId="0" borderId="21" xfId="0" applyNumberFormat="1" applyFont="1" applyBorder="1" applyAlignment="1" applyProtection="1">
      <alignment horizontal="center" vertical="top" wrapText="1"/>
      <protection locked="0"/>
    </xf>
    <xf numFmtId="2" fontId="6" fillId="0" borderId="21" xfId="0" applyNumberFormat="1" applyFont="1" applyBorder="1" applyAlignment="1" applyProtection="1">
      <alignment horizontal="center" vertical="top" wrapText="1"/>
      <protection locked="0"/>
    </xf>
    <xf numFmtId="0" fontId="2" fillId="0" borderId="0" xfId="1" applyProtection="1">
      <protection locked="0"/>
    </xf>
    <xf numFmtId="0" fontId="2" fillId="0" borderId="0" xfId="1" applyBorder="1" applyProtection="1">
      <protection locked="0"/>
    </xf>
    <xf numFmtId="0" fontId="2" fillId="0" borderId="24" xfId="1" applyBorder="1" applyProtection="1">
      <protection locked="0"/>
    </xf>
    <xf numFmtId="0" fontId="2" fillId="0" borderId="27" xfId="1" applyBorder="1" applyProtection="1">
      <protection locked="0"/>
    </xf>
    <xf numFmtId="0" fontId="2" fillId="0" borderId="59" xfId="1" applyBorder="1" applyProtection="1">
      <protection locked="0"/>
    </xf>
    <xf numFmtId="0" fontId="2" fillId="0" borderId="47" xfId="1" applyBorder="1" applyProtection="1">
      <protection locked="0"/>
    </xf>
    <xf numFmtId="0" fontId="2" fillId="0" borderId="48" xfId="1" applyBorder="1" applyProtection="1">
      <protection locked="0"/>
    </xf>
    <xf numFmtId="0" fontId="2" fillId="0" borderId="49" xfId="1" applyBorder="1" applyProtection="1">
      <protection locked="0"/>
    </xf>
    <xf numFmtId="0" fontId="2" fillId="0" borderId="0" xfId="0" applyFont="1" applyProtection="1">
      <protection locked="0"/>
    </xf>
    <xf numFmtId="0" fontId="0" fillId="5" borderId="0" xfId="0" applyFill="1" applyProtection="1">
      <protection locked="0"/>
    </xf>
    <xf numFmtId="0" fontId="31" fillId="0" borderId="55" xfId="1" applyFont="1" applyBorder="1" applyProtection="1">
      <protection locked="0"/>
    </xf>
    <xf numFmtId="0" fontId="31" fillId="0" borderId="60" xfId="0" applyFont="1" applyBorder="1" applyProtection="1">
      <protection locked="0"/>
    </xf>
    <xf numFmtId="2" fontId="31" fillId="0" borderId="56" xfId="0" applyNumberFormat="1" applyFont="1" applyBorder="1" applyProtection="1">
      <protection locked="0"/>
    </xf>
    <xf numFmtId="0" fontId="31" fillId="0" borderId="55" xfId="0" applyFont="1" applyBorder="1" applyProtection="1">
      <protection locked="0"/>
    </xf>
    <xf numFmtId="11" fontId="31" fillId="11" borderId="56" xfId="0" applyNumberFormat="1" applyFont="1" applyFill="1" applyBorder="1" applyProtection="1">
      <protection locked="0"/>
    </xf>
    <xf numFmtId="0" fontId="31" fillId="0" borderId="0" xfId="0" applyFont="1" applyProtection="1">
      <protection locked="0"/>
    </xf>
    <xf numFmtId="11" fontId="31" fillId="7" borderId="0" xfId="0" applyNumberFormat="1" applyFont="1" applyFill="1" applyProtection="1">
      <protection locked="0"/>
    </xf>
    <xf numFmtId="0" fontId="2" fillId="0" borderId="24" xfId="0" applyFont="1" applyBorder="1" applyProtection="1">
      <protection locked="0"/>
    </xf>
    <xf numFmtId="0" fontId="0" fillId="5" borderId="57" xfId="0" applyFill="1" applyBorder="1" applyProtection="1">
      <protection locked="0"/>
    </xf>
    <xf numFmtId="0" fontId="31" fillId="0" borderId="48" xfId="0" applyFont="1" applyBorder="1" applyProtection="1">
      <protection locked="0"/>
    </xf>
    <xf numFmtId="11" fontId="31" fillId="11" borderId="58" xfId="0" applyNumberFormat="1" applyFont="1" applyFill="1" applyBorder="1" applyProtection="1">
      <protection locked="0"/>
    </xf>
    <xf numFmtId="0" fontId="31" fillId="12" borderId="49" xfId="0" applyFont="1" applyFill="1" applyBorder="1" applyProtection="1">
      <protection locked="0"/>
    </xf>
    <xf numFmtId="0" fontId="31" fillId="0" borderId="24" xfId="0" applyFont="1" applyBorder="1" applyProtection="1">
      <protection locked="0"/>
    </xf>
    <xf numFmtId="11" fontId="31" fillId="5" borderId="55" xfId="1" applyNumberFormat="1" applyFont="1" applyFill="1" applyBorder="1" applyProtection="1">
      <protection locked="0"/>
    </xf>
    <xf numFmtId="0" fontId="31" fillId="0" borderId="56" xfId="0" applyFont="1" applyBorder="1" applyProtection="1">
      <protection locked="0"/>
    </xf>
    <xf numFmtId="11" fontId="31" fillId="5" borderId="55" xfId="0" applyNumberFormat="1" applyFont="1" applyFill="1" applyBorder="1" applyProtection="1">
      <protection locked="0"/>
    </xf>
    <xf numFmtId="0" fontId="2" fillId="0" borderId="59" xfId="0" applyFont="1" applyBorder="1" applyProtection="1">
      <protection locked="0"/>
    </xf>
    <xf numFmtId="0" fontId="2" fillId="0" borderId="48" xfId="0" applyFont="1" applyBorder="1" applyProtection="1">
      <protection locked="0"/>
    </xf>
    <xf numFmtId="0" fontId="0" fillId="12" borderId="58" xfId="0" applyFill="1" applyBorder="1" applyProtection="1">
      <protection locked="0"/>
    </xf>
    <xf numFmtId="0" fontId="2" fillId="0" borderId="58" xfId="1" applyBorder="1" applyProtection="1">
      <protection locked="0"/>
    </xf>
    <xf numFmtId="11" fontId="31" fillId="11" borderId="0" xfId="0" applyNumberFormat="1" applyFont="1" applyFill="1" applyProtection="1">
      <protection locked="0"/>
    </xf>
    <xf numFmtId="165" fontId="0" fillId="4" borderId="8" xfId="0" applyNumberFormat="1" applyFill="1" applyBorder="1" applyProtection="1">
      <protection locked="0"/>
    </xf>
    <xf numFmtId="165" fontId="0" fillId="4" borderId="1" xfId="0" applyNumberFormat="1" applyFill="1" applyBorder="1" applyAlignment="1" applyProtection="1">
      <alignment horizontal="right" vertical="center"/>
      <protection locked="0"/>
    </xf>
    <xf numFmtId="165" fontId="0" fillId="4" borderId="8" xfId="0" applyNumberFormat="1" applyFill="1" applyBorder="1" applyAlignment="1" applyProtection="1">
      <alignment horizontal="right" vertical="center"/>
      <protection locked="0"/>
    </xf>
    <xf numFmtId="165" fontId="13" fillId="4" borderId="1" xfId="0" applyNumberFormat="1" applyFont="1" applyFill="1" applyBorder="1" applyAlignment="1" applyProtection="1">
      <alignment horizontal="right"/>
      <protection locked="0"/>
    </xf>
    <xf numFmtId="165" fontId="13" fillId="4" borderId="8" xfId="0" applyNumberFormat="1" applyFont="1" applyFill="1" applyBorder="1" applyAlignment="1" applyProtection="1">
      <alignment horizontal="right"/>
      <protection locked="0"/>
    </xf>
    <xf numFmtId="0" fontId="0" fillId="12" borderId="0" xfId="0" applyFill="1" applyBorder="1" applyProtection="1">
      <protection locked="0"/>
    </xf>
    <xf numFmtId="0" fontId="1" fillId="0" borderId="0" xfId="1" applyFont="1" applyFill="1" applyAlignment="1" applyProtection="1">
      <alignment horizontal="center"/>
      <protection locked="0"/>
    </xf>
    <xf numFmtId="0" fontId="30" fillId="9" borderId="17" xfId="1" applyFont="1" applyFill="1" applyBorder="1" applyAlignment="1" applyProtection="1">
      <alignment horizontal="center"/>
    </xf>
    <xf numFmtId="0" fontId="10" fillId="9" borderId="13" xfId="1" applyFont="1" applyFill="1" applyBorder="1" applyAlignment="1" applyProtection="1">
      <alignment horizontal="center"/>
    </xf>
    <xf numFmtId="0" fontId="10" fillId="9" borderId="17" xfId="1" applyFont="1" applyFill="1" applyBorder="1" applyAlignment="1" applyProtection="1">
      <alignment horizontal="center"/>
    </xf>
    <xf numFmtId="0" fontId="31" fillId="9" borderId="17" xfId="1" applyFont="1" applyFill="1" applyBorder="1" applyAlignment="1" applyProtection="1">
      <alignment horizontal="center"/>
    </xf>
    <xf numFmtId="0" fontId="31" fillId="0" borderId="0" xfId="1" applyFont="1" applyFill="1" applyBorder="1" applyAlignment="1" applyProtection="1">
      <alignment horizontal="center"/>
      <protection locked="0"/>
    </xf>
    <xf numFmtId="0" fontId="1" fillId="0" borderId="46" xfId="1" applyFont="1" applyFill="1" applyBorder="1" applyAlignment="1" applyProtection="1">
      <alignment horizontal="center"/>
      <protection locked="0"/>
    </xf>
    <xf numFmtId="0" fontId="2" fillId="9" borderId="21" xfId="1" applyFont="1" applyFill="1" applyBorder="1" applyAlignment="1" applyProtection="1">
      <alignment horizontal="center"/>
    </xf>
    <xf numFmtId="0" fontId="30" fillId="9" borderId="0" xfId="1" applyFont="1" applyFill="1" applyBorder="1" applyAlignment="1" applyProtection="1">
      <alignment horizontal="center"/>
    </xf>
    <xf numFmtId="0" fontId="31" fillId="9" borderId="21" xfId="1" applyFont="1" applyFill="1" applyBorder="1" applyAlignment="1" applyProtection="1">
      <alignment horizontal="center"/>
    </xf>
    <xf numFmtId="0" fontId="14" fillId="9" borderId="21" xfId="1" applyFont="1" applyFill="1" applyBorder="1" applyAlignment="1" applyProtection="1">
      <alignment horizontal="center"/>
    </xf>
    <xf numFmtId="0" fontId="14" fillId="0" borderId="0" xfId="1" applyFont="1" applyFill="1" applyBorder="1" applyAlignment="1" applyProtection="1">
      <alignment horizontal="center"/>
      <protection locked="0"/>
    </xf>
    <xf numFmtId="0" fontId="2" fillId="0" borderId="18" xfId="1" applyFont="1" applyFill="1" applyBorder="1" applyAlignment="1" applyProtection="1">
      <alignment horizontal="left"/>
      <protection locked="0"/>
    </xf>
    <xf numFmtId="0" fontId="2" fillId="0" borderId="42" xfId="1" applyFont="1" applyFill="1" applyBorder="1" applyAlignment="1" applyProtection="1">
      <alignment horizontal="left"/>
      <protection locked="0"/>
    </xf>
    <xf numFmtId="0" fontId="2" fillId="4" borderId="43" xfId="1" applyFont="1" applyFill="1" applyBorder="1" applyAlignment="1" applyProtection="1">
      <alignment horizontal="left"/>
      <protection locked="0"/>
    </xf>
    <xf numFmtId="14" fontId="2" fillId="4" borderId="43" xfId="1" applyNumberFormat="1" applyFont="1" applyFill="1" applyBorder="1" applyAlignment="1" applyProtection="1">
      <alignment horizontal="left"/>
      <protection locked="0"/>
    </xf>
    <xf numFmtId="0" fontId="2" fillId="0" borderId="43" xfId="1" applyFont="1" applyFill="1" applyBorder="1" applyAlignment="1" applyProtection="1">
      <alignment horizontal="left"/>
      <protection locked="0"/>
    </xf>
    <xf numFmtId="0" fontId="2" fillId="4" borderId="23" xfId="1" applyFill="1" applyBorder="1" applyProtection="1">
      <protection locked="0"/>
    </xf>
    <xf numFmtId="0" fontId="2" fillId="9" borderId="10" xfId="1" applyFont="1" applyFill="1" applyBorder="1" applyAlignment="1" applyProtection="1">
      <alignment horizontal="right" vertical="center" wrapText="1"/>
    </xf>
    <xf numFmtId="0" fontId="2" fillId="9" borderId="16" xfId="1" applyFont="1" applyFill="1" applyBorder="1" applyAlignment="1" applyProtection="1">
      <alignment horizontal="right" vertical="center" wrapText="1"/>
    </xf>
    <xf numFmtId="0" fontId="10" fillId="9" borderId="2" xfId="1" applyFont="1" applyFill="1" applyBorder="1" applyAlignment="1" applyProtection="1">
      <alignment horizontal="center"/>
    </xf>
    <xf numFmtId="0" fontId="10" fillId="9" borderId="2" xfId="1" applyFont="1" applyFill="1" applyBorder="1" applyAlignment="1" applyProtection="1">
      <alignment horizontal="center" vertical="center" wrapText="1"/>
    </xf>
    <xf numFmtId="0" fontId="1" fillId="9" borderId="2" xfId="1" applyFont="1" applyFill="1" applyBorder="1" applyAlignment="1" applyProtection="1">
      <alignment horizontal="center"/>
    </xf>
    <xf numFmtId="0" fontId="2" fillId="9" borderId="46" xfId="1" applyFont="1" applyFill="1" applyBorder="1" applyAlignment="1" applyProtection="1">
      <alignment horizontal="center"/>
    </xf>
    <xf numFmtId="0" fontId="2" fillId="9" borderId="2" xfId="1" applyFont="1" applyFill="1" applyBorder="1" applyAlignment="1" applyProtection="1">
      <alignment horizontal="center"/>
    </xf>
    <xf numFmtId="0" fontId="2" fillId="9" borderId="16" xfId="1" applyFont="1" applyFill="1" applyBorder="1" applyAlignment="1" applyProtection="1">
      <alignment horizontal="center"/>
    </xf>
    <xf numFmtId="0" fontId="2" fillId="0" borderId="0" xfId="1" applyFont="1" applyFill="1" applyBorder="1" applyAlignment="1" applyProtection="1">
      <alignment horizontal="center"/>
      <protection locked="0"/>
    </xf>
    <xf numFmtId="0" fontId="31" fillId="9" borderId="19" xfId="1" applyFont="1" applyFill="1" applyBorder="1" applyAlignment="1" applyProtection="1">
      <alignment horizontal="center"/>
      <protection locked="0"/>
    </xf>
    <xf numFmtId="0" fontId="31" fillId="9" borderId="21" xfId="1" applyFont="1" applyFill="1" applyBorder="1" applyAlignment="1" applyProtection="1">
      <alignment horizontal="center"/>
      <protection locked="0"/>
    </xf>
    <xf numFmtId="0" fontId="2" fillId="0" borderId="42" xfId="1" applyFont="1" applyBorder="1" applyAlignment="1" applyProtection="1">
      <alignment horizontal="left"/>
      <protection locked="0"/>
    </xf>
    <xf numFmtId="0" fontId="2" fillId="4" borderId="43" xfId="1" applyFont="1" applyFill="1" applyBorder="1" applyProtection="1">
      <protection locked="0"/>
    </xf>
    <xf numFmtId="0" fontId="2" fillId="0" borderId="15" xfId="1" applyFont="1" applyFill="1" applyBorder="1" applyAlignment="1" applyProtection="1">
      <alignment horizontal="left"/>
      <protection locked="0"/>
    </xf>
    <xf numFmtId="0" fontId="2" fillId="8" borderId="43" xfId="1" applyFont="1" applyFill="1" applyBorder="1" applyAlignment="1" applyProtection="1">
      <alignment horizontal="left"/>
      <protection locked="0"/>
    </xf>
    <xf numFmtId="0" fontId="2" fillId="8" borderId="23" xfId="1" applyFill="1" applyBorder="1" applyProtection="1">
      <protection locked="0"/>
    </xf>
    <xf numFmtId="1" fontId="2" fillId="0" borderId="6" xfId="1" applyNumberFormat="1" applyFill="1" applyBorder="1" applyAlignment="1" applyProtection="1"/>
    <xf numFmtId="165" fontId="2" fillId="0" borderId="1" xfId="1" applyNumberFormat="1" applyBorder="1" applyAlignment="1" applyProtection="1">
      <alignment horizontal="right"/>
    </xf>
    <xf numFmtId="0" fontId="2" fillId="4" borderId="1" xfId="1" applyFill="1" applyBorder="1" applyProtection="1">
      <protection locked="0"/>
    </xf>
    <xf numFmtId="164" fontId="2" fillId="4" borderId="1" xfId="1" applyNumberFormat="1" applyFill="1" applyBorder="1" applyAlignment="1" applyProtection="1">
      <alignment horizontal="right"/>
      <protection locked="0"/>
    </xf>
    <xf numFmtId="0" fontId="13" fillId="4" borderId="1" xfId="1" applyFont="1" applyFill="1" applyBorder="1" applyAlignment="1" applyProtection="1">
      <alignment horizontal="right"/>
      <protection locked="0"/>
    </xf>
    <xf numFmtId="165" fontId="13" fillId="0" borderId="1" xfId="1" applyNumberFormat="1" applyFont="1" applyBorder="1" applyAlignment="1" applyProtection="1">
      <alignment horizontal="right"/>
    </xf>
    <xf numFmtId="164" fontId="1" fillId="0" borderId="1" xfId="1" applyNumberFormat="1" applyFont="1" applyFill="1" applyBorder="1" applyAlignment="1" applyProtection="1">
      <alignment horizontal="center"/>
    </xf>
    <xf numFmtId="165" fontId="1" fillId="0" borderId="5" xfId="1" applyNumberFormat="1" applyFont="1" applyBorder="1" applyAlignment="1" applyProtection="1">
      <alignment horizontal="right"/>
    </xf>
    <xf numFmtId="164" fontId="2" fillId="0" borderId="2" xfId="1" applyNumberFormat="1" applyBorder="1" applyAlignment="1" applyProtection="1">
      <alignment horizontal="center"/>
    </xf>
    <xf numFmtId="167" fontId="2" fillId="0" borderId="2" xfId="1" applyNumberFormat="1" applyBorder="1" applyAlignment="1" applyProtection="1">
      <alignment horizontal="center"/>
    </xf>
    <xf numFmtId="2" fontId="2" fillId="0" borderId="1" xfId="1" applyNumberFormat="1" applyFont="1" applyFill="1" applyBorder="1" applyAlignment="1" applyProtection="1">
      <alignment horizontal="center"/>
    </xf>
    <xf numFmtId="165" fontId="2" fillId="0" borderId="2" xfId="1" applyNumberFormat="1" applyFont="1" applyFill="1" applyBorder="1" applyAlignment="1" applyProtection="1">
      <alignment horizontal="center"/>
    </xf>
    <xf numFmtId="166" fontId="2" fillId="0" borderId="1" xfId="1" applyNumberFormat="1" applyFont="1" applyFill="1" applyBorder="1" applyAlignment="1" applyProtection="1">
      <alignment horizontal="center"/>
    </xf>
    <xf numFmtId="0" fontId="2" fillId="9" borderId="15" xfId="1" applyFont="1" applyFill="1" applyBorder="1" applyAlignment="1" applyProtection="1">
      <alignment horizontal="center"/>
      <protection locked="0"/>
    </xf>
    <xf numFmtId="0" fontId="2" fillId="9" borderId="2" xfId="1" applyFont="1" applyFill="1" applyBorder="1" applyAlignment="1" applyProtection="1">
      <alignment horizontal="center"/>
      <protection locked="0"/>
    </xf>
    <xf numFmtId="0" fontId="13" fillId="4" borderId="43" xfId="1" applyFont="1" applyFill="1" applyBorder="1" applyAlignment="1" applyProtection="1">
      <alignment horizontal="left"/>
      <protection locked="0"/>
    </xf>
    <xf numFmtId="0" fontId="13" fillId="4" borderId="23" xfId="1" applyFont="1" applyFill="1" applyBorder="1" applyProtection="1">
      <protection locked="0"/>
    </xf>
    <xf numFmtId="0" fontId="2" fillId="0" borderId="19" xfId="1" applyFont="1" applyFill="1" applyBorder="1" applyAlignment="1" applyProtection="1">
      <alignment horizontal="left"/>
      <protection locked="0"/>
    </xf>
    <xf numFmtId="0" fontId="13" fillId="4" borderId="0" xfId="1" applyFont="1" applyFill="1" applyBorder="1" applyAlignment="1" applyProtection="1">
      <alignment horizontal="left"/>
      <protection locked="0"/>
    </xf>
    <xf numFmtId="0" fontId="28" fillId="4" borderId="20" xfId="1" applyFont="1" applyFill="1" applyBorder="1" applyAlignment="1" applyProtection="1">
      <alignment horizontal="center"/>
      <protection locked="0"/>
    </xf>
    <xf numFmtId="1" fontId="2" fillId="0" borderId="1" xfId="1" applyNumberFormat="1" applyBorder="1" applyAlignment="1" applyProtection="1">
      <alignment horizontal="right"/>
    </xf>
    <xf numFmtId="0" fontId="2" fillId="0" borderId="0" xfId="1" applyFill="1" applyBorder="1" applyProtection="1">
      <protection locked="0"/>
    </xf>
    <xf numFmtId="0" fontId="2" fillId="0" borderId="2" xfId="1" applyBorder="1" applyAlignment="1" applyProtection="1">
      <alignment horizontal="center"/>
    </xf>
    <xf numFmtId="0" fontId="2" fillId="0" borderId="1" xfId="1" applyBorder="1" applyAlignment="1" applyProtection="1">
      <alignment horizontal="center"/>
    </xf>
    <xf numFmtId="165" fontId="2" fillId="0" borderId="16" xfId="1" applyNumberFormat="1" applyBorder="1" applyAlignment="1" applyProtection="1">
      <alignment horizontal="center"/>
    </xf>
    <xf numFmtId="0" fontId="13" fillId="0" borderId="1" xfId="1" applyFont="1" applyBorder="1" applyAlignment="1" applyProtection="1">
      <alignment horizontal="left"/>
      <protection locked="0"/>
    </xf>
    <xf numFmtId="0" fontId="13" fillId="0" borderId="42" xfId="1" applyFont="1" applyBorder="1" applyAlignment="1" applyProtection="1">
      <alignment horizontal="left"/>
      <protection locked="0"/>
    </xf>
    <xf numFmtId="0" fontId="13" fillId="4" borderId="43" xfId="1" applyFont="1" applyFill="1" applyBorder="1" applyProtection="1">
      <protection locked="0"/>
    </xf>
    <xf numFmtId="0" fontId="2" fillId="0" borderId="43" xfId="1" applyFont="1" applyBorder="1" applyAlignment="1" applyProtection="1">
      <alignment horizontal="left"/>
      <protection locked="0"/>
    </xf>
    <xf numFmtId="0" fontId="2" fillId="4" borderId="23" xfId="1" applyFill="1" applyBorder="1" applyAlignment="1" applyProtection="1">
      <alignment horizontal="right"/>
      <protection locked="0"/>
    </xf>
    <xf numFmtId="0" fontId="11" fillId="0" borderId="0" xfId="1" applyFont="1" applyBorder="1" applyAlignment="1" applyProtection="1">
      <alignment horizontal="left"/>
      <protection locked="0"/>
    </xf>
    <xf numFmtId="0" fontId="11" fillId="0" borderId="0" xfId="1" applyFont="1" applyBorder="1" applyProtection="1">
      <protection locked="0"/>
    </xf>
    <xf numFmtId="0" fontId="11" fillId="0" borderId="0" xfId="1" applyFont="1" applyFill="1" applyBorder="1" applyProtection="1">
      <protection locked="0"/>
    </xf>
    <xf numFmtId="0" fontId="1" fillId="3" borderId="24" xfId="1" applyFont="1" applyFill="1" applyBorder="1" applyAlignment="1" applyProtection="1">
      <alignment horizontal="left" vertical="center"/>
      <protection locked="0"/>
    </xf>
    <xf numFmtId="0" fontId="2" fillId="0" borderId="27" xfId="1" applyBorder="1" applyAlignment="1" applyProtection="1">
      <alignment horizontal="left"/>
      <protection locked="0"/>
    </xf>
    <xf numFmtId="0" fontId="1" fillId="3" borderId="36" xfId="1" applyFont="1" applyFill="1" applyBorder="1" applyAlignment="1" applyProtection="1">
      <alignment horizontal="right" vertical="center" wrapText="1"/>
      <protection locked="0"/>
    </xf>
    <xf numFmtId="0" fontId="1" fillId="3" borderId="12" xfId="1" applyFont="1" applyFill="1" applyBorder="1" applyAlignment="1" applyProtection="1">
      <alignment horizontal="right" vertical="center" wrapText="1"/>
      <protection locked="0"/>
    </xf>
    <xf numFmtId="0" fontId="2" fillId="0" borderId="37" xfId="1" applyBorder="1" applyAlignment="1" applyProtection="1">
      <alignment horizontal="left"/>
      <protection locked="0"/>
    </xf>
    <xf numFmtId="0" fontId="2" fillId="0" borderId="38" xfId="1" applyBorder="1" applyAlignment="1" applyProtection="1">
      <alignment horizontal="left"/>
      <protection locked="0"/>
    </xf>
    <xf numFmtId="0" fontId="1" fillId="3" borderId="10" xfId="1" applyFont="1" applyFill="1" applyBorder="1" applyAlignment="1" applyProtection="1">
      <alignment horizontal="right" vertical="center" wrapText="1"/>
      <protection locked="0"/>
    </xf>
    <xf numFmtId="0" fontId="1" fillId="3" borderId="2" xfId="1" applyFont="1" applyFill="1" applyBorder="1" applyAlignment="1" applyProtection="1">
      <alignment horizontal="right" vertical="center" wrapText="1"/>
      <protection locked="0"/>
    </xf>
    <xf numFmtId="0" fontId="1" fillId="0" borderId="32" xfId="1" applyFont="1" applyBorder="1" applyAlignment="1" applyProtection="1">
      <alignment horizontal="right" vertical="center"/>
      <protection locked="0"/>
    </xf>
    <xf numFmtId="0" fontId="2" fillId="0" borderId="33" xfId="1" applyBorder="1" applyAlignment="1" applyProtection="1">
      <alignment horizontal="right"/>
      <protection locked="0"/>
    </xf>
    <xf numFmtId="0" fontId="1" fillId="0" borderId="22" xfId="1" applyFont="1" applyBorder="1" applyAlignment="1" applyProtection="1">
      <alignment horizontal="right" vertical="center"/>
      <protection locked="0"/>
    </xf>
    <xf numFmtId="0" fontId="1" fillId="0" borderId="3" xfId="1" applyFont="1" applyBorder="1" applyAlignment="1" applyProtection="1">
      <alignment horizontal="right" vertical="center"/>
      <protection locked="0"/>
    </xf>
    <xf numFmtId="0" fontId="1" fillId="0" borderId="4" xfId="1" applyFont="1" applyBorder="1" applyAlignment="1" applyProtection="1">
      <alignment horizontal="right" vertical="center"/>
      <protection locked="0"/>
    </xf>
    <xf numFmtId="0" fontId="1" fillId="0" borderId="39" xfId="1" applyFont="1" applyBorder="1" applyAlignment="1" applyProtection="1">
      <alignment horizontal="right"/>
    </xf>
    <xf numFmtId="0" fontId="2" fillId="0" borderId="36" xfId="1" applyFont="1" applyBorder="1" applyAlignment="1" applyProtection="1">
      <alignment horizontal="right" vertical="center"/>
    </xf>
    <xf numFmtId="165" fontId="2" fillId="4" borderId="12" xfId="1" applyNumberFormat="1" applyFont="1" applyFill="1" applyBorder="1" applyAlignment="1" applyProtection="1">
      <alignment horizontal="right" vertical="center"/>
      <protection locked="0"/>
    </xf>
    <xf numFmtId="165" fontId="2" fillId="0" borderId="12" xfId="1" applyNumberFormat="1" applyFont="1" applyFill="1" applyBorder="1" applyAlignment="1" applyProtection="1">
      <alignment horizontal="right" vertical="center"/>
    </xf>
    <xf numFmtId="165" fontId="2" fillId="0" borderId="2" xfId="1" applyNumberFormat="1" applyBorder="1" applyAlignment="1" applyProtection="1">
      <alignment horizontal="right" vertical="center"/>
    </xf>
    <xf numFmtId="165" fontId="12" fillId="0" borderId="30" xfId="1" applyNumberFormat="1" applyFont="1" applyBorder="1" applyAlignment="1" applyProtection="1">
      <alignment horizontal="right" vertical="center"/>
    </xf>
    <xf numFmtId="0" fontId="1" fillId="0" borderId="47" xfId="1" applyFont="1" applyBorder="1" applyAlignment="1" applyProtection="1">
      <alignment horizontal="right" vertical="center"/>
    </xf>
    <xf numFmtId="0" fontId="2" fillId="0" borderId="20" xfId="1" applyFont="1" applyBorder="1" applyAlignment="1" applyProtection="1">
      <alignment horizontal="right" vertical="center"/>
    </xf>
    <xf numFmtId="165" fontId="2" fillId="4" borderId="21" xfId="1" applyNumberFormat="1" applyFont="1" applyFill="1" applyBorder="1" applyAlignment="1" applyProtection="1">
      <alignment horizontal="right" vertical="center"/>
      <protection locked="0"/>
    </xf>
    <xf numFmtId="165" fontId="2" fillId="0" borderId="21" xfId="1" applyNumberFormat="1" applyFont="1" applyFill="1" applyBorder="1" applyAlignment="1" applyProtection="1">
      <alignment horizontal="right" vertical="center"/>
    </xf>
    <xf numFmtId="165" fontId="1" fillId="0" borderId="11" xfId="1" applyNumberFormat="1" applyFont="1" applyBorder="1" applyAlignment="1" applyProtection="1">
      <alignment horizontal="right" vertical="center"/>
    </xf>
    <xf numFmtId="1" fontId="2" fillId="0" borderId="7" xfId="1" applyNumberFormat="1" applyFill="1" applyBorder="1" applyAlignment="1" applyProtection="1"/>
    <xf numFmtId="1" fontId="2" fillId="0" borderId="8" xfId="1" applyNumberFormat="1" applyBorder="1" applyAlignment="1" applyProtection="1">
      <alignment horizontal="right"/>
    </xf>
    <xf numFmtId="164" fontId="2" fillId="4" borderId="8" xfId="1" applyNumberFormat="1" applyFill="1" applyBorder="1" applyAlignment="1" applyProtection="1">
      <alignment horizontal="right"/>
      <protection locked="0"/>
    </xf>
    <xf numFmtId="165" fontId="2" fillId="0" borderId="8" xfId="1" applyNumberFormat="1" applyBorder="1" applyAlignment="1" applyProtection="1">
      <alignment horizontal="right"/>
    </xf>
    <xf numFmtId="165" fontId="13" fillId="0" borderId="8" xfId="1" applyNumberFormat="1" applyFont="1" applyBorder="1" applyAlignment="1" applyProtection="1">
      <alignment horizontal="right"/>
    </xf>
    <xf numFmtId="164" fontId="1" fillId="0" borderId="8" xfId="1" applyNumberFormat="1" applyFont="1" applyFill="1" applyBorder="1" applyAlignment="1" applyProtection="1">
      <alignment horizontal="center"/>
    </xf>
    <xf numFmtId="165" fontId="1" fillId="0" borderId="9" xfId="1" applyNumberFormat="1" applyFont="1" applyBorder="1" applyAlignment="1" applyProtection="1">
      <alignment horizontal="right"/>
    </xf>
    <xf numFmtId="0" fontId="1" fillId="0" borderId="40" xfId="1" applyFont="1" applyBorder="1" applyAlignment="1" applyProtection="1">
      <alignment horizontal="right" vertical="center"/>
    </xf>
    <xf numFmtId="0" fontId="2" fillId="0" borderId="23" xfId="1" applyFont="1" applyBorder="1" applyAlignment="1" applyProtection="1">
      <alignment horizontal="right" vertical="center"/>
    </xf>
    <xf numFmtId="165" fontId="2" fillId="4" borderId="1" xfId="1" applyNumberFormat="1" applyFont="1" applyFill="1" applyBorder="1" applyAlignment="1" applyProtection="1">
      <alignment horizontal="right" vertical="center"/>
      <protection locked="0"/>
    </xf>
    <xf numFmtId="165" fontId="2" fillId="0" borderId="1" xfId="1" applyNumberFormat="1" applyFont="1" applyFill="1" applyBorder="1" applyAlignment="1" applyProtection="1">
      <alignment horizontal="right" vertical="center"/>
    </xf>
    <xf numFmtId="165" fontId="1" fillId="0" borderId="5" xfId="1" applyNumberFormat="1" applyFont="1" applyBorder="1" applyAlignment="1" applyProtection="1">
      <alignment horizontal="right" vertical="center"/>
    </xf>
    <xf numFmtId="0" fontId="1" fillId="0" borderId="33" xfId="1" applyFont="1" applyBorder="1" applyAlignment="1" applyProtection="1">
      <alignment horizontal="right" vertical="center"/>
    </xf>
    <xf numFmtId="0" fontId="2" fillId="0" borderId="14" xfId="1" applyFont="1" applyBorder="1" applyAlignment="1" applyProtection="1">
      <alignment horizontal="right" vertical="center"/>
    </xf>
    <xf numFmtId="165" fontId="2" fillId="4" borderId="17" xfId="1" applyNumberFormat="1" applyFont="1" applyFill="1" applyBorder="1" applyAlignment="1" applyProtection="1">
      <alignment horizontal="right" vertical="center"/>
      <protection locked="0"/>
    </xf>
    <xf numFmtId="165" fontId="2" fillId="0" borderId="8" xfId="1" applyNumberFormat="1" applyBorder="1" applyAlignment="1" applyProtection="1">
      <alignment horizontal="right" vertical="center"/>
    </xf>
    <xf numFmtId="165" fontId="1" fillId="0" borderId="9" xfId="1" applyNumberFormat="1" applyFont="1" applyBorder="1" applyAlignment="1" applyProtection="1">
      <alignment horizontal="right" vertical="center"/>
    </xf>
    <xf numFmtId="0" fontId="1" fillId="0" borderId="39" xfId="1" applyFont="1" applyBorder="1" applyAlignment="1" applyProtection="1">
      <alignment horizontal="right" vertical="center"/>
    </xf>
    <xf numFmtId="0" fontId="2" fillId="0" borderId="29" xfId="1" applyFont="1" applyBorder="1" applyAlignment="1" applyProtection="1">
      <alignment horizontal="right" vertical="center"/>
    </xf>
    <xf numFmtId="165" fontId="2" fillId="4" borderId="12" xfId="1" applyNumberFormat="1" applyFill="1" applyBorder="1" applyAlignment="1" applyProtection="1">
      <alignment horizontal="right" vertical="center"/>
      <protection locked="0"/>
    </xf>
    <xf numFmtId="0" fontId="2" fillId="0" borderId="41" xfId="1" applyFont="1" applyFill="1" applyBorder="1" applyAlignment="1" applyProtection="1">
      <alignment horizontal="right" vertical="center"/>
    </xf>
    <xf numFmtId="165" fontId="1" fillId="0" borderId="40" xfId="1" applyNumberFormat="1" applyFont="1" applyBorder="1" applyAlignment="1" applyProtection="1">
      <alignment horizontal="right" vertical="center"/>
    </xf>
    <xf numFmtId="165" fontId="2" fillId="4" borderId="1" xfId="1" applyNumberFormat="1" applyFill="1" applyBorder="1" applyAlignment="1" applyProtection="1">
      <alignment horizontal="right" vertical="center"/>
      <protection locked="0"/>
    </xf>
    <xf numFmtId="0" fontId="2" fillId="0" borderId="1" xfId="1" applyFont="1" applyFill="1" applyBorder="1" applyAlignment="1" applyProtection="1">
      <alignment horizontal="right" vertical="center"/>
    </xf>
    <xf numFmtId="0" fontId="2" fillId="0" borderId="21" xfId="1" applyFont="1" applyFill="1" applyBorder="1" applyAlignment="1" applyProtection="1">
      <alignment horizontal="right" vertical="center"/>
    </xf>
    <xf numFmtId="2" fontId="1" fillId="0" borderId="40" xfId="1" applyNumberFormat="1" applyFont="1" applyBorder="1" applyAlignment="1" applyProtection="1">
      <alignment horizontal="right" vertical="center"/>
    </xf>
    <xf numFmtId="165" fontId="1" fillId="0" borderId="45" xfId="1" applyNumberFormat="1" applyFont="1" applyBorder="1" applyAlignment="1" applyProtection="1">
      <alignment horizontal="right" vertical="center"/>
    </xf>
    <xf numFmtId="166" fontId="1" fillId="0" borderId="40" xfId="1" applyNumberFormat="1" applyFont="1" applyBorder="1" applyAlignment="1" applyProtection="1">
      <alignment horizontal="right" vertical="center"/>
    </xf>
    <xf numFmtId="165" fontId="2" fillId="0" borderId="1" xfId="1" applyNumberFormat="1" applyBorder="1" applyAlignment="1" applyProtection="1">
      <alignment horizontal="right" vertical="center"/>
    </xf>
    <xf numFmtId="165" fontId="1" fillId="5" borderId="40" xfId="1" applyNumberFormat="1" applyFont="1" applyFill="1" applyBorder="1" applyAlignment="1" applyProtection="1">
      <alignment horizontal="right" vertical="center"/>
    </xf>
    <xf numFmtId="0" fontId="1" fillId="0" borderId="31" xfId="1" applyFont="1" applyBorder="1" applyAlignment="1" applyProtection="1">
      <alignment horizontal="center" vertical="center" textRotation="90"/>
    </xf>
    <xf numFmtId="165" fontId="2" fillId="0" borderId="26" xfId="1" applyNumberFormat="1" applyFont="1" applyBorder="1" applyAlignment="1" applyProtection="1">
      <alignment horizontal="right" vertical="center"/>
    </xf>
    <xf numFmtId="165" fontId="2" fillId="4" borderId="8" xfId="1" applyNumberFormat="1" applyFill="1" applyBorder="1" applyAlignment="1" applyProtection="1">
      <alignment horizontal="right" vertical="center"/>
      <protection locked="0"/>
    </xf>
    <xf numFmtId="165" fontId="2" fillId="0" borderId="8" xfId="1" applyNumberFormat="1" applyFont="1" applyFill="1" applyBorder="1" applyAlignment="1" applyProtection="1">
      <alignment horizontal="right" vertical="center"/>
    </xf>
    <xf numFmtId="0" fontId="2" fillId="8" borderId="39" xfId="1" applyFont="1" applyFill="1" applyBorder="1" applyAlignment="1" applyProtection="1">
      <alignment horizontal="right" vertical="center"/>
      <protection locked="0"/>
    </xf>
    <xf numFmtId="0" fontId="1" fillId="6" borderId="44" xfId="1" applyFont="1" applyFill="1" applyBorder="1" applyAlignment="1" applyProtection="1">
      <alignment horizontal="right" vertical="center"/>
    </xf>
    <xf numFmtId="165" fontId="1" fillId="6" borderId="12" xfId="1" applyNumberFormat="1" applyFont="1" applyFill="1" applyBorder="1" applyAlignment="1" applyProtection="1">
      <alignment horizontal="right" vertical="center"/>
    </xf>
    <xf numFmtId="165" fontId="2" fillId="6" borderId="30" xfId="1" applyNumberFormat="1" applyFill="1" applyBorder="1" applyAlignment="1" applyProtection="1">
      <alignment horizontal="right" vertical="center"/>
    </xf>
    <xf numFmtId="0" fontId="2" fillId="6" borderId="39" xfId="1" applyFont="1" applyFill="1" applyBorder="1" applyAlignment="1" applyProtection="1">
      <alignment horizontal="right" vertical="center"/>
    </xf>
    <xf numFmtId="166" fontId="2" fillId="6" borderId="49" xfId="1" applyNumberFormat="1" applyFill="1" applyBorder="1" applyAlignment="1" applyProtection="1">
      <alignment vertical="center"/>
    </xf>
    <xf numFmtId="0" fontId="1" fillId="6" borderId="7" xfId="1" applyFont="1" applyFill="1" applyBorder="1" applyAlignment="1" applyProtection="1">
      <alignment horizontal="right" vertical="center"/>
    </xf>
    <xf numFmtId="165" fontId="1" fillId="6" borderId="26" xfId="1" applyNumberFormat="1" applyFont="1" applyFill="1" applyBorder="1" applyAlignment="1" applyProtection="1">
      <alignment horizontal="right" vertical="center"/>
    </xf>
    <xf numFmtId="2" fontId="12" fillId="6" borderId="9" xfId="1" applyNumberFormat="1" applyFont="1" applyFill="1" applyBorder="1" applyAlignment="1" applyProtection="1">
      <alignment horizontal="right" vertical="center"/>
    </xf>
    <xf numFmtId="0" fontId="2" fillId="6" borderId="33" xfId="1" applyFont="1" applyFill="1" applyBorder="1" applyAlignment="1" applyProtection="1">
      <alignment horizontal="right" vertical="center"/>
    </xf>
    <xf numFmtId="0" fontId="9" fillId="0" borderId="0" xfId="1" applyFont="1" applyBorder="1" applyAlignment="1" applyProtection="1">
      <alignment horizontal="right" vertical="center"/>
      <protection locked="0"/>
    </xf>
    <xf numFmtId="165" fontId="8" fillId="0" borderId="0" xfId="1" applyNumberFormat="1" applyFont="1" applyBorder="1" applyAlignment="1" applyProtection="1">
      <alignment horizontal="right" vertical="center"/>
      <protection locked="0"/>
    </xf>
    <xf numFmtId="0" fontId="2" fillId="0" borderId="0" xfId="1" applyBorder="1" applyAlignment="1" applyProtection="1">
      <alignment horizontal="right" vertical="center"/>
      <protection locked="0"/>
    </xf>
    <xf numFmtId="0" fontId="2" fillId="7" borderId="0" xfId="1" applyFont="1" applyFill="1" applyAlignment="1" applyProtection="1">
      <alignment horizontal="left" vertical="center"/>
      <protection locked="0"/>
    </xf>
    <xf numFmtId="0" fontId="1" fillId="0" borderId="0" xfId="1" applyFont="1" applyFill="1" applyBorder="1" applyAlignment="1" applyProtection="1">
      <alignment horizontal="center"/>
      <protection locked="0"/>
    </xf>
    <xf numFmtId="0" fontId="2" fillId="0" borderId="18" xfId="1" applyFont="1" applyBorder="1" applyAlignment="1" applyProtection="1">
      <alignment vertical="center"/>
      <protection locked="0"/>
    </xf>
    <xf numFmtId="0" fontId="2" fillId="0" borderId="13" xfId="1" applyBorder="1" applyAlignment="1" applyProtection="1">
      <alignment vertical="center"/>
      <protection locked="0"/>
    </xf>
    <xf numFmtId="1" fontId="1" fillId="6" borderId="1" xfId="1" applyNumberFormat="1" applyFont="1" applyFill="1" applyBorder="1" applyAlignment="1" applyProtection="1">
      <alignment vertical="center"/>
    </xf>
    <xf numFmtId="0" fontId="2" fillId="0" borderId="23" xfId="1" applyFont="1" applyBorder="1" applyAlignment="1" applyProtection="1">
      <alignment vertical="center"/>
    </xf>
    <xf numFmtId="0" fontId="1" fillId="0" borderId="0" xfId="1" applyFont="1" applyFill="1" applyBorder="1" applyAlignment="1" applyProtection="1">
      <alignment vertical="center"/>
      <protection locked="0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7" borderId="43" xfId="1" applyFont="1" applyFill="1" applyBorder="1" applyAlignment="1" applyProtection="1">
      <alignment horizontal="center"/>
      <protection locked="0"/>
    </xf>
    <xf numFmtId="0" fontId="2" fillId="0" borderId="23" xfId="1" applyBorder="1" applyProtection="1">
      <protection locked="0"/>
    </xf>
    <xf numFmtId="0" fontId="2" fillId="4" borderId="1" xfId="1" applyFont="1" applyFill="1" applyBorder="1" applyAlignment="1" applyProtection="1">
      <alignment horizontal="right"/>
      <protection locked="0"/>
    </xf>
    <xf numFmtId="0" fontId="2" fillId="0" borderId="23" xfId="1" applyFont="1" applyFill="1" applyBorder="1" applyAlignment="1" applyProtection="1">
      <alignment horizontal="left"/>
    </xf>
    <xf numFmtId="0" fontId="2" fillId="5" borderId="23" xfId="1" applyFont="1" applyFill="1" applyBorder="1" applyAlignment="1" applyProtection="1">
      <alignment horizontal="left"/>
    </xf>
    <xf numFmtId="0" fontId="2" fillId="0" borderId="0" xfId="1" applyFont="1" applyFill="1" applyBorder="1" applyProtection="1">
      <protection locked="0"/>
    </xf>
    <xf numFmtId="0" fontId="2" fillId="0" borderId="20" xfId="1" applyFont="1" applyFill="1" applyBorder="1" applyAlignment="1" applyProtection="1">
      <alignment horizontal="left"/>
    </xf>
    <xf numFmtId="0" fontId="2" fillId="7" borderId="42" xfId="1" applyFont="1" applyFill="1" applyBorder="1" applyAlignment="1" applyProtection="1">
      <alignment horizontal="left"/>
      <protection locked="0"/>
    </xf>
    <xf numFmtId="2" fontId="1" fillId="5" borderId="1" xfId="1" applyNumberFormat="1" applyFont="1" applyFill="1" applyBorder="1" applyProtection="1"/>
    <xf numFmtId="0" fontId="1" fillId="0" borderId="23" xfId="1" applyFont="1" applyFill="1" applyBorder="1" applyAlignment="1" applyProtection="1">
      <alignment horizontal="left"/>
    </xf>
    <xf numFmtId="165" fontId="2" fillId="4" borderId="1" xfId="1" applyNumberFormat="1" applyFill="1" applyBorder="1" applyProtection="1">
      <protection locked="0"/>
    </xf>
    <xf numFmtId="165" fontId="13" fillId="4" borderId="1" xfId="1" applyNumberFormat="1" applyFont="1" applyFill="1" applyBorder="1" applyAlignment="1" applyProtection="1">
      <alignment horizontal="right"/>
      <protection locked="0"/>
    </xf>
    <xf numFmtId="165" fontId="2" fillId="4" borderId="8" xfId="1" applyNumberFormat="1" applyFill="1" applyBorder="1" applyProtection="1">
      <protection locked="0"/>
    </xf>
    <xf numFmtId="165" fontId="13" fillId="4" borderId="8" xfId="1" applyNumberFormat="1" applyFont="1" applyFill="1" applyBorder="1" applyAlignment="1" applyProtection="1">
      <alignment horizontal="righ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2" fillId="7" borderId="42" xfId="1" applyFont="1" applyFill="1" applyBorder="1" applyAlignment="1" applyProtection="1">
      <alignment horizontal="left"/>
      <protection locked="0"/>
    </xf>
    <xf numFmtId="0" fontId="10" fillId="9" borderId="2" xfId="1" applyFont="1" applyFill="1" applyBorder="1" applyAlignment="1" applyProtection="1">
      <alignment horizontal="center" vertical="center" wrapText="1"/>
    </xf>
    <xf numFmtId="0" fontId="1" fillId="0" borderId="31" xfId="1" applyFont="1" applyBorder="1" applyAlignment="1" applyProtection="1">
      <alignment horizontal="center" vertical="center" textRotation="90"/>
    </xf>
    <xf numFmtId="0" fontId="2" fillId="7" borderId="42" xfId="1" applyFont="1" applyFill="1" applyBorder="1" applyAlignment="1" applyProtection="1">
      <alignment horizontal="left"/>
      <protection locked="0"/>
    </xf>
    <xf numFmtId="0" fontId="10" fillId="9" borderId="2" xfId="1" applyFont="1" applyFill="1" applyBorder="1" applyAlignment="1" applyProtection="1">
      <alignment horizontal="center" vertical="center" wrapText="1"/>
    </xf>
    <xf numFmtId="0" fontId="0" fillId="0" borderId="58" xfId="0" applyFill="1" applyBorder="1" applyProtection="1">
      <protection locked="0"/>
    </xf>
    <xf numFmtId="0" fontId="1" fillId="0" borderId="31" xfId="1" applyFont="1" applyBorder="1" applyAlignment="1">
      <alignment horizontal="center" vertical="center" textRotation="90"/>
    </xf>
    <xf numFmtId="0" fontId="1" fillId="6" borderId="44" xfId="1" applyFont="1" applyFill="1" applyBorder="1" applyAlignment="1">
      <alignment horizontal="right" vertical="center"/>
    </xf>
    <xf numFmtId="0" fontId="10" fillId="9" borderId="2" xfId="1" applyFont="1" applyFill="1" applyBorder="1" applyAlignment="1" applyProtection="1">
      <alignment horizontal="center" vertical="center" wrapText="1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30" fillId="9" borderId="17" xfId="1" applyFont="1" applyFill="1" applyBorder="1" applyAlignment="1">
      <alignment horizontal="center"/>
    </xf>
    <xf numFmtId="0" fontId="10" fillId="9" borderId="13" xfId="1" applyFont="1" applyFill="1" applyBorder="1" applyAlignment="1">
      <alignment horizontal="center"/>
    </xf>
    <xf numFmtId="0" fontId="10" fillId="9" borderId="17" xfId="1" applyFont="1" applyFill="1" applyBorder="1" applyAlignment="1">
      <alignment horizontal="center"/>
    </xf>
    <xf numFmtId="0" fontId="31" fillId="9" borderId="17" xfId="1" applyFont="1" applyFill="1" applyBorder="1" applyAlignment="1">
      <alignment horizontal="center"/>
    </xf>
    <xf numFmtId="0" fontId="31" fillId="0" borderId="0" xfId="1" applyFont="1" applyFill="1" applyBorder="1" applyAlignment="1">
      <alignment horizontal="center"/>
    </xf>
    <xf numFmtId="0" fontId="2" fillId="9" borderId="21" xfId="1" applyFont="1" applyFill="1" applyBorder="1" applyAlignment="1">
      <alignment horizontal="center"/>
    </xf>
    <xf numFmtId="0" fontId="30" fillId="9" borderId="0" xfId="1" applyFont="1" applyFill="1" applyBorder="1" applyAlignment="1">
      <alignment horizontal="center"/>
    </xf>
    <xf numFmtId="0" fontId="31" fillId="9" borderId="21" xfId="1" applyFont="1" applyFill="1" applyBorder="1" applyAlignment="1">
      <alignment horizontal="center"/>
    </xf>
    <xf numFmtId="0" fontId="14" fillId="9" borderId="21" xfId="1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2" fillId="9" borderId="10" xfId="1" applyFont="1" applyFill="1" applyBorder="1" applyAlignment="1">
      <alignment horizontal="right" vertical="center" wrapText="1"/>
    </xf>
    <xf numFmtId="0" fontId="2" fillId="9" borderId="16" xfId="1" applyFont="1" applyFill="1" applyBorder="1" applyAlignment="1">
      <alignment horizontal="right" vertical="center" wrapText="1"/>
    </xf>
    <xf numFmtId="0" fontId="10" fillId="9" borderId="2" xfId="1" applyFont="1" applyFill="1" applyBorder="1" applyAlignment="1">
      <alignment horizontal="center"/>
    </xf>
    <xf numFmtId="0" fontId="10" fillId="9" borderId="2" xfId="1" applyFont="1" applyFill="1" applyBorder="1" applyAlignment="1">
      <alignment horizontal="center" vertical="center" wrapText="1"/>
    </xf>
    <xf numFmtId="0" fontId="1" fillId="9" borderId="2" xfId="1" applyFont="1" applyFill="1" applyBorder="1" applyAlignment="1">
      <alignment horizontal="center"/>
    </xf>
    <xf numFmtId="0" fontId="2" fillId="9" borderId="46" xfId="1" applyFont="1" applyFill="1" applyBorder="1" applyAlignment="1">
      <alignment horizontal="center"/>
    </xf>
    <xf numFmtId="0" fontId="2" fillId="9" borderId="2" xfId="1" applyFont="1" applyFill="1" applyBorder="1" applyAlignment="1">
      <alignment horizontal="center"/>
    </xf>
    <xf numFmtId="0" fontId="2" fillId="9" borderId="16" xfId="1" applyFont="1" applyFill="1" applyBorder="1" applyAlignment="1">
      <alignment horizontal="center"/>
    </xf>
    <xf numFmtId="0" fontId="31" fillId="9" borderId="19" xfId="1" applyFont="1" applyFill="1" applyBorder="1" applyAlignment="1">
      <alignment horizontal="center"/>
    </xf>
    <xf numFmtId="1" fontId="2" fillId="0" borderId="6" xfId="1" applyNumberFormat="1" applyFill="1" applyBorder="1" applyAlignment="1"/>
    <xf numFmtId="0" fontId="13" fillId="4" borderId="1" xfId="1" applyFont="1" applyFill="1" applyBorder="1" applyAlignment="1">
      <alignment horizontal="right"/>
    </xf>
    <xf numFmtId="165" fontId="13" fillId="0" borderId="1" xfId="1" applyNumberFormat="1" applyFont="1" applyBorder="1" applyAlignment="1">
      <alignment horizontal="right"/>
    </xf>
    <xf numFmtId="164" fontId="1" fillId="0" borderId="1" xfId="1" applyNumberFormat="1" applyFont="1" applyFill="1" applyBorder="1" applyAlignment="1">
      <alignment horizontal="center"/>
    </xf>
    <xf numFmtId="164" fontId="2" fillId="0" borderId="2" xfId="1" applyNumberFormat="1" applyBorder="1" applyAlignment="1">
      <alignment horizontal="center"/>
    </xf>
    <xf numFmtId="167" fontId="2" fillId="0" borderId="2" xfId="1" applyNumberFormat="1" applyBorder="1" applyAlignment="1">
      <alignment horizontal="center"/>
    </xf>
    <xf numFmtId="2" fontId="2" fillId="0" borderId="1" xfId="1" applyNumberFormat="1" applyFont="1" applyFill="1" applyBorder="1" applyAlignment="1">
      <alignment horizontal="center"/>
    </xf>
    <xf numFmtId="165" fontId="2" fillId="0" borderId="2" xfId="1" applyNumberFormat="1" applyFont="1" applyFill="1" applyBorder="1" applyAlignment="1">
      <alignment horizontal="center"/>
    </xf>
    <xf numFmtId="166" fontId="2" fillId="0" borderId="1" xfId="1" applyNumberFormat="1" applyFont="1" applyFill="1" applyBorder="1" applyAlignment="1">
      <alignment horizontal="center"/>
    </xf>
    <xf numFmtId="0" fontId="2" fillId="9" borderId="15" xfId="1" applyFont="1" applyFill="1" applyBorder="1" applyAlignment="1">
      <alignment horizontal="center"/>
    </xf>
    <xf numFmtId="0" fontId="2" fillId="0" borderId="2" xfId="1" applyBorder="1" applyAlignment="1">
      <alignment horizontal="center"/>
    </xf>
    <xf numFmtId="0" fontId="2" fillId="0" borderId="1" xfId="1" applyBorder="1" applyAlignment="1">
      <alignment horizontal="center"/>
    </xf>
    <xf numFmtId="165" fontId="2" fillId="0" borderId="16" xfId="1" applyNumberFormat="1" applyBorder="1" applyAlignment="1">
      <alignment horizontal="center"/>
    </xf>
    <xf numFmtId="165" fontId="13" fillId="4" borderId="1" xfId="1" applyNumberFormat="1" applyFont="1" applyFill="1" applyBorder="1" applyAlignment="1">
      <alignment horizontal="right"/>
    </xf>
    <xf numFmtId="1" fontId="2" fillId="0" borderId="7" xfId="1" applyNumberFormat="1" applyFill="1" applyBorder="1" applyAlignment="1"/>
    <xf numFmtId="165" fontId="13" fillId="4" borderId="8" xfId="1" applyNumberFormat="1" applyFont="1" applyFill="1" applyBorder="1" applyAlignment="1">
      <alignment horizontal="right"/>
    </xf>
    <xf numFmtId="165" fontId="13" fillId="0" borderId="8" xfId="1" applyNumberFormat="1" applyFont="1" applyBorder="1" applyAlignment="1">
      <alignment horizontal="right"/>
    </xf>
    <xf numFmtId="164" fontId="1" fillId="0" borderId="8" xfId="1" applyNumberFormat="1" applyFont="1" applyFill="1" applyBorder="1" applyAlignment="1">
      <alignment horizontal="center"/>
    </xf>
    <xf numFmtId="165" fontId="2" fillId="0" borderId="41" xfId="1" applyNumberFormat="1" applyFont="1" applyFill="1" applyBorder="1" applyAlignment="1">
      <alignment horizontal="right" vertical="center"/>
    </xf>
    <xf numFmtId="1" fontId="1" fillId="6" borderId="1" xfId="1" applyNumberFormat="1" applyFont="1" applyFill="1" applyBorder="1" applyAlignment="1">
      <alignment vertical="center"/>
    </xf>
    <xf numFmtId="0" fontId="2" fillId="4" borderId="1" xfId="1" applyFont="1" applyFill="1" applyBorder="1" applyAlignment="1">
      <alignment horizontal="right"/>
    </xf>
    <xf numFmtId="2" fontId="1" fillId="5" borderId="1" xfId="1" applyNumberFormat="1" applyFont="1" applyFill="1" applyBorder="1"/>
    <xf numFmtId="0" fontId="31" fillId="4" borderId="43" xfId="1" applyFont="1" applyFill="1" applyBorder="1"/>
    <xf numFmtId="0" fontId="2" fillId="0" borderId="0" xfId="1" applyFont="1" applyProtection="1">
      <protection locked="0"/>
    </xf>
    <xf numFmtId="0" fontId="2" fillId="5" borderId="0" xfId="1" applyFill="1" applyProtection="1">
      <protection locked="0"/>
    </xf>
    <xf numFmtId="0" fontId="31" fillId="0" borderId="60" xfId="1" applyFont="1" applyBorder="1" applyProtection="1">
      <protection locked="0"/>
    </xf>
    <xf numFmtId="2" fontId="31" fillId="0" borderId="56" xfId="1" applyNumberFormat="1" applyFont="1" applyBorder="1" applyProtection="1">
      <protection locked="0"/>
    </xf>
    <xf numFmtId="11" fontId="31" fillId="11" borderId="56" xfId="1" applyNumberFormat="1" applyFont="1" applyFill="1" applyBorder="1" applyProtection="1">
      <protection locked="0"/>
    </xf>
    <xf numFmtId="0" fontId="31" fillId="0" borderId="0" xfId="1" applyFont="1" applyProtection="1">
      <protection locked="0"/>
    </xf>
    <xf numFmtId="11" fontId="31" fillId="7" borderId="0" xfId="1" applyNumberFormat="1" applyFont="1" applyFill="1" applyProtection="1">
      <protection locked="0"/>
    </xf>
    <xf numFmtId="0" fontId="2" fillId="0" borderId="24" xfId="1" applyFont="1" applyBorder="1" applyProtection="1">
      <protection locked="0"/>
    </xf>
    <xf numFmtId="0" fontId="2" fillId="5" borderId="57" xfId="1" applyFill="1" applyBorder="1" applyProtection="1">
      <protection locked="0"/>
    </xf>
    <xf numFmtId="0" fontId="31" fillId="0" borderId="48" xfId="1" applyFont="1" applyBorder="1" applyProtection="1">
      <protection locked="0"/>
    </xf>
    <xf numFmtId="11" fontId="31" fillId="11" borderId="58" xfId="1" applyNumberFormat="1" applyFont="1" applyFill="1" applyBorder="1" applyProtection="1">
      <protection locked="0"/>
    </xf>
    <xf numFmtId="0" fontId="31" fillId="12" borderId="49" xfId="1" applyFont="1" applyFill="1" applyBorder="1" applyProtection="1">
      <protection locked="0"/>
    </xf>
    <xf numFmtId="0" fontId="31" fillId="0" borderId="24" xfId="1" applyFont="1" applyBorder="1" applyProtection="1">
      <protection locked="0"/>
    </xf>
    <xf numFmtId="0" fontId="31" fillId="0" borderId="56" xfId="1" applyFont="1" applyBorder="1" applyProtection="1">
      <protection locked="0"/>
    </xf>
    <xf numFmtId="11" fontId="31" fillId="5" borderId="61" xfId="1" applyNumberFormat="1" applyFont="1" applyFill="1" applyBorder="1" applyProtection="1">
      <protection locked="0"/>
    </xf>
    <xf numFmtId="0" fontId="2" fillId="0" borderId="59" xfId="1" applyFont="1" applyBorder="1" applyProtection="1">
      <protection locked="0"/>
    </xf>
    <xf numFmtId="0" fontId="2" fillId="0" borderId="20" xfId="1" applyBorder="1" applyProtection="1">
      <protection locked="0"/>
    </xf>
    <xf numFmtId="0" fontId="2" fillId="0" borderId="48" xfId="1" applyFont="1" applyBorder="1" applyProtection="1">
      <protection locked="0"/>
    </xf>
    <xf numFmtId="0" fontId="2" fillId="0" borderId="58" xfId="1" applyFill="1" applyBorder="1" applyProtection="1">
      <protection locked="0"/>
    </xf>
    <xf numFmtId="0" fontId="2" fillId="0" borderId="22" xfId="1" applyBorder="1" applyProtection="1">
      <protection locked="0"/>
    </xf>
    <xf numFmtId="11" fontId="31" fillId="11" borderId="0" xfId="1" applyNumberFormat="1" applyFont="1" applyFill="1" applyProtection="1">
      <protection locked="0"/>
    </xf>
    <xf numFmtId="0" fontId="46" fillId="0" borderId="0" xfId="1" applyFont="1" applyAlignment="1">
      <alignment horizontal="center"/>
    </xf>
    <xf numFmtId="0" fontId="2" fillId="12" borderId="0" xfId="1" applyFill="1" applyBorder="1" applyProtection="1">
      <protection locked="0"/>
    </xf>
    <xf numFmtId="0" fontId="2" fillId="12" borderId="58" xfId="1" applyFill="1" applyBorder="1" applyProtection="1">
      <protection locked="0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10" fillId="9" borderId="2" xfId="1" applyFont="1" applyFill="1" applyBorder="1" applyAlignment="1" applyProtection="1">
      <alignment horizontal="center" vertical="center" wrapText="1"/>
    </xf>
    <xf numFmtId="0" fontId="10" fillId="9" borderId="2" xfId="1" applyFont="1" applyFill="1" applyBorder="1" applyAlignment="1" applyProtection="1">
      <alignment horizontal="center" vertical="center" wrapText="1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10" fillId="9" borderId="2" xfId="1" applyFont="1" applyFill="1" applyBorder="1" applyAlignment="1" applyProtection="1">
      <alignment horizontal="center" vertical="center" wrapText="1"/>
    </xf>
    <xf numFmtId="0" fontId="10" fillId="9" borderId="2" xfId="0" applyFont="1" applyFill="1" applyBorder="1" applyAlignment="1" applyProtection="1">
      <alignment horizontal="center" vertical="center" wrapText="1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0" borderId="31" xfId="0" applyFont="1" applyBorder="1" applyAlignment="1" applyProtection="1">
      <alignment horizontal="center" vertical="center" textRotation="90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0" borderId="31" xfId="0" applyFont="1" applyBorder="1" applyAlignment="1" applyProtection="1">
      <alignment horizontal="center" vertical="center" textRotation="90"/>
    </xf>
    <xf numFmtId="0" fontId="10" fillId="9" borderId="2" xfId="0" applyFont="1" applyFill="1" applyBorder="1" applyAlignment="1" applyProtection="1">
      <alignment horizontal="center" vertical="center" wrapText="1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0" fontId="10" fillId="9" borderId="2" xfId="1" applyFont="1" applyFill="1" applyBorder="1" applyAlignment="1" applyProtection="1">
      <alignment horizontal="center" vertical="center" wrapText="1"/>
    </xf>
    <xf numFmtId="0" fontId="2" fillId="4" borderId="43" xfId="0" applyNumberFormat="1" applyFont="1" applyFill="1" applyBorder="1" applyAlignment="1" applyProtection="1">
      <alignment horizontal="left"/>
      <protection locked="0"/>
    </xf>
    <xf numFmtId="0" fontId="10" fillId="9" borderId="2" xfId="1" applyFont="1" applyFill="1" applyBorder="1" applyAlignment="1" applyProtection="1">
      <alignment horizontal="center" vertical="center" wrapText="1"/>
    </xf>
    <xf numFmtId="0" fontId="2" fillId="7" borderId="42" xfId="1" applyFont="1" applyFill="1" applyBorder="1" applyAlignment="1" applyProtection="1">
      <alignment horizontal="left"/>
      <protection locked="0"/>
    </xf>
    <xf numFmtId="0" fontId="1" fillId="0" borderId="31" xfId="1" applyFont="1" applyBorder="1" applyAlignment="1" applyProtection="1">
      <alignment horizontal="center" vertical="center" textRotation="90"/>
    </xf>
    <xf numFmtId="164" fontId="2" fillId="0" borderId="0" xfId="1" applyNumberFormat="1" applyProtection="1">
      <protection locked="0"/>
    </xf>
    <xf numFmtId="165" fontId="2" fillId="0" borderId="0" xfId="1" applyNumberFormat="1" applyProtection="1">
      <protection locked="0"/>
    </xf>
    <xf numFmtId="164" fontId="2" fillId="12" borderId="0" xfId="1" applyNumberFormat="1" applyFill="1" applyProtection="1">
      <protection locked="0"/>
    </xf>
    <xf numFmtId="165" fontId="2" fillId="12" borderId="0" xfId="1" applyNumberFormat="1" applyFill="1" applyProtection="1">
      <protection locked="0"/>
    </xf>
    <xf numFmtId="165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164" fontId="0" fillId="12" borderId="0" xfId="0" applyNumberFormat="1" applyFill="1" applyProtection="1">
      <protection locked="0"/>
    </xf>
    <xf numFmtId="165" fontId="0" fillId="12" borderId="0" xfId="0" applyNumberFormat="1" applyFill="1" applyProtection="1">
      <protection locked="0"/>
    </xf>
    <xf numFmtId="0" fontId="31" fillId="11" borderId="49" xfId="0" applyFont="1" applyFill="1" applyBorder="1"/>
    <xf numFmtId="0" fontId="31" fillId="11" borderId="49" xfId="1" applyFont="1" applyFill="1" applyBorder="1" applyProtection="1">
      <protection locked="0"/>
    </xf>
    <xf numFmtId="0" fontId="31" fillId="0" borderId="0" xfId="0" applyFont="1" applyAlignment="1">
      <alignment horizontal="center"/>
    </xf>
    <xf numFmtId="11" fontId="2" fillId="0" borderId="0" xfId="1" applyNumberFormat="1" applyProtection="1">
      <protection locked="0"/>
    </xf>
    <xf numFmtId="11" fontId="2" fillId="0" borderId="0" xfId="1" applyNumberFormat="1"/>
    <xf numFmtId="0" fontId="1" fillId="0" borderId="0" xfId="1" applyFont="1" applyProtection="1">
      <protection locked="0"/>
    </xf>
    <xf numFmtId="165" fontId="2" fillId="0" borderId="0" xfId="1" applyNumberFormat="1"/>
    <xf numFmtId="0" fontId="12" fillId="0" borderId="0" xfId="1" applyFont="1" applyProtection="1">
      <protection locked="0"/>
    </xf>
    <xf numFmtId="0" fontId="10" fillId="9" borderId="2" xfId="0" applyFont="1" applyFill="1" applyBorder="1" applyAlignment="1" applyProtection="1">
      <alignment horizontal="center" vertical="center" wrapText="1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0" borderId="31" xfId="0" applyFont="1" applyBorder="1" applyAlignment="1" applyProtection="1">
      <alignment horizontal="center" vertical="center" textRotation="90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0" borderId="31" xfId="0" applyFont="1" applyBorder="1" applyAlignment="1" applyProtection="1">
      <alignment horizontal="center" vertical="center" textRotation="90"/>
    </xf>
    <xf numFmtId="0" fontId="10" fillId="9" borderId="2" xfId="0" applyFont="1" applyFill="1" applyBorder="1" applyAlignment="1" applyProtection="1">
      <alignment horizontal="center" vertical="center" wrapText="1"/>
    </xf>
    <xf numFmtId="0" fontId="0" fillId="0" borderId="19" xfId="0" applyBorder="1" applyProtection="1">
      <protection locked="0"/>
    </xf>
    <xf numFmtId="0" fontId="0" fillId="0" borderId="62" xfId="0" applyBorder="1" applyProtection="1">
      <protection locked="0"/>
    </xf>
    <xf numFmtId="0" fontId="13" fillId="4" borderId="8" xfId="0" applyFont="1" applyFill="1" applyBorder="1" applyAlignment="1" applyProtection="1">
      <alignment horizontal="right"/>
      <protection locked="0"/>
    </xf>
    <xf numFmtId="0" fontId="0" fillId="4" borderId="8" xfId="0" applyFill="1" applyBorder="1" applyProtection="1">
      <protection locked="0"/>
    </xf>
    <xf numFmtId="165" fontId="0" fillId="4" borderId="1" xfId="0" applyNumberFormat="1" applyFill="1" applyBorder="1" applyAlignment="1" applyProtection="1">
      <alignment horizontal="right"/>
      <protection locked="0"/>
    </xf>
    <xf numFmtId="165" fontId="0" fillId="4" borderId="8" xfId="0" applyNumberFormat="1" applyFill="1" applyBorder="1" applyAlignment="1" applyProtection="1">
      <alignment horizontal="right"/>
      <protection locked="0"/>
    </xf>
    <xf numFmtId="0" fontId="2" fillId="7" borderId="42" xfId="0" applyFont="1" applyFill="1" applyBorder="1" applyAlignment="1" applyProtection="1">
      <alignment horizontal="left"/>
      <protection locked="0"/>
    </xf>
    <xf numFmtId="0" fontId="1" fillId="0" borderId="31" xfId="0" applyFont="1" applyBorder="1" applyAlignment="1" applyProtection="1">
      <alignment horizontal="center" vertical="center" textRotation="90"/>
    </xf>
    <xf numFmtId="0" fontId="10" fillId="9" borderId="2" xfId="0" applyFont="1" applyFill="1" applyBorder="1" applyAlignment="1" applyProtection="1">
      <alignment horizontal="center" vertical="center" wrapText="1"/>
    </xf>
    <xf numFmtId="0" fontId="1" fillId="0" borderId="28" xfId="0" applyFont="1" applyBorder="1" applyAlignment="1">
      <alignment horizontal="center" vertical="center" textRotation="90"/>
    </xf>
    <xf numFmtId="0" fontId="1" fillId="0" borderId="25" xfId="0" applyFont="1" applyBorder="1" applyAlignment="1">
      <alignment horizontal="center" vertical="center" textRotation="90"/>
    </xf>
    <xf numFmtId="0" fontId="1" fillId="0" borderId="10" xfId="0" applyFont="1" applyBorder="1" applyAlignment="1">
      <alignment horizontal="center" vertical="center" textRotation="90"/>
    </xf>
    <xf numFmtId="0" fontId="1" fillId="2" borderId="0" xfId="0" applyFont="1" applyFill="1" applyAlignment="1">
      <alignment horizontal="center" vertical="center"/>
    </xf>
    <xf numFmtId="0" fontId="1" fillId="3" borderId="34" xfId="0" applyFont="1" applyFill="1" applyBorder="1" applyAlignment="1">
      <alignment horizontal="right" vertical="center" wrapText="1"/>
    </xf>
    <xf numFmtId="0" fontId="1" fillId="3" borderId="11" xfId="0" applyFont="1" applyFill="1" applyBorder="1" applyAlignment="1">
      <alignment horizontal="right" vertical="center" wrapText="1"/>
    </xf>
    <xf numFmtId="0" fontId="26" fillId="6" borderId="44" xfId="0" applyFont="1" applyFill="1" applyBorder="1" applyAlignment="1">
      <alignment horizontal="right" vertical="center"/>
    </xf>
    <xf numFmtId="0" fontId="26" fillId="6" borderId="29" xfId="0" applyFont="1" applyFill="1" applyBorder="1" applyAlignment="1">
      <alignment horizontal="right" vertical="center"/>
    </xf>
    <xf numFmtId="0" fontId="1" fillId="3" borderId="35" xfId="0" applyFont="1" applyFill="1" applyBorder="1" applyAlignment="1">
      <alignment horizontal="center" vertical="center" wrapText="1"/>
    </xf>
    <xf numFmtId="0" fontId="1" fillId="3" borderId="29" xfId="0" applyFont="1" applyFill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textRotation="90"/>
    </xf>
    <xf numFmtId="0" fontId="1" fillId="6" borderId="48" xfId="0" applyFont="1" applyFill="1" applyBorder="1" applyAlignment="1">
      <alignment horizontal="right" vertical="center"/>
    </xf>
    <xf numFmtId="0" fontId="0" fillId="6" borderId="22" xfId="0" applyFill="1" applyBorder="1" applyAlignment="1">
      <alignment horizontal="right" vertical="center"/>
    </xf>
    <xf numFmtId="0" fontId="2" fillId="7" borderId="42" xfId="1" applyFont="1" applyFill="1" applyBorder="1" applyAlignment="1">
      <alignment horizontal="left"/>
    </xf>
    <xf numFmtId="0" fontId="2" fillId="7" borderId="43" xfId="1" applyFont="1" applyFill="1" applyBorder="1" applyAlignment="1">
      <alignment horizontal="left"/>
    </xf>
    <xf numFmtId="0" fontId="2" fillId="7" borderId="23" xfId="1" applyFont="1" applyFill="1" applyBorder="1" applyAlignment="1">
      <alignment horizontal="left"/>
    </xf>
    <xf numFmtId="0" fontId="10" fillId="9" borderId="17" xfId="1" applyFont="1" applyFill="1" applyBorder="1" applyAlignment="1">
      <alignment horizontal="center" wrapText="1"/>
    </xf>
    <xf numFmtId="0" fontId="10" fillId="9" borderId="21" xfId="1" applyFont="1" applyFill="1" applyBorder="1" applyAlignment="1">
      <alignment horizontal="center" wrapText="1"/>
    </xf>
    <xf numFmtId="0" fontId="1" fillId="0" borderId="28" xfId="1" applyFont="1" applyBorder="1" applyAlignment="1">
      <alignment horizontal="center" vertical="center" textRotation="90"/>
    </xf>
    <xf numFmtId="0" fontId="1" fillId="0" borderId="25" xfId="1" applyFont="1" applyBorder="1" applyAlignment="1">
      <alignment horizontal="center" vertical="center" textRotation="90"/>
    </xf>
    <xf numFmtId="0" fontId="1" fillId="0" borderId="31" xfId="1" applyFont="1" applyBorder="1" applyAlignment="1">
      <alignment horizontal="center" vertical="center" textRotation="90"/>
    </xf>
    <xf numFmtId="0" fontId="1" fillId="0" borderId="10" xfId="1" applyFont="1" applyBorder="1" applyAlignment="1">
      <alignment horizontal="center" vertical="center" textRotation="90"/>
    </xf>
    <xf numFmtId="0" fontId="26" fillId="6" borderId="44" xfId="1" applyFont="1" applyFill="1" applyBorder="1" applyAlignment="1">
      <alignment horizontal="right" vertical="center"/>
    </xf>
    <xf numFmtId="0" fontId="26" fillId="6" borderId="29" xfId="1" applyFont="1" applyFill="1" applyBorder="1" applyAlignment="1">
      <alignment horizontal="right" vertical="center"/>
    </xf>
    <xf numFmtId="0" fontId="1" fillId="6" borderId="48" xfId="1" applyFont="1" applyFill="1" applyBorder="1" applyAlignment="1">
      <alignment horizontal="right" vertical="center"/>
    </xf>
    <xf numFmtId="0" fontId="2" fillId="6" borderId="22" xfId="1" applyFill="1" applyBorder="1" applyAlignment="1">
      <alignment horizontal="right" vertical="center"/>
    </xf>
    <xf numFmtId="0" fontId="1" fillId="2" borderId="0" xfId="1" applyFont="1" applyFill="1" applyAlignment="1">
      <alignment horizontal="center" vertical="center"/>
    </xf>
    <xf numFmtId="0" fontId="10" fillId="9" borderId="17" xfId="1" applyFont="1" applyFill="1" applyBorder="1" applyAlignment="1">
      <alignment horizontal="left" wrapText="1"/>
    </xf>
    <xf numFmtId="0" fontId="10" fillId="9" borderId="21" xfId="1" applyFont="1" applyFill="1" applyBorder="1" applyAlignment="1">
      <alignment horizontal="left" wrapText="1"/>
    </xf>
    <xf numFmtId="0" fontId="1" fillId="3" borderId="35" xfId="1" applyFont="1" applyFill="1" applyBorder="1" applyAlignment="1">
      <alignment horizontal="center" vertical="center" wrapText="1"/>
    </xf>
    <xf numFmtId="0" fontId="1" fillId="3" borderId="29" xfId="1" applyFont="1" applyFill="1" applyBorder="1" applyAlignment="1">
      <alignment horizontal="center" vertical="center" wrapText="1"/>
    </xf>
    <xf numFmtId="0" fontId="1" fillId="3" borderId="34" xfId="1" applyFont="1" applyFill="1" applyBorder="1" applyAlignment="1">
      <alignment horizontal="right" vertical="center" wrapText="1"/>
    </xf>
    <xf numFmtId="0" fontId="1" fillId="3" borderId="11" xfId="1" applyFont="1" applyFill="1" applyBorder="1" applyAlignment="1">
      <alignment horizontal="right" vertical="center" wrapText="1"/>
    </xf>
    <xf numFmtId="0" fontId="36" fillId="9" borderId="41" xfId="1" applyFont="1" applyFill="1" applyBorder="1" applyAlignment="1">
      <alignment horizontal="center" vertical="center" wrapText="1"/>
    </xf>
    <xf numFmtId="0" fontId="36" fillId="9" borderId="21" xfId="1" applyFont="1" applyFill="1" applyBorder="1" applyAlignment="1">
      <alignment horizontal="center" vertical="center" wrapText="1"/>
    </xf>
    <xf numFmtId="0" fontId="36" fillId="9" borderId="2" xfId="1" applyFont="1" applyFill="1" applyBorder="1" applyAlignment="1">
      <alignment horizontal="center" vertical="center" wrapText="1"/>
    </xf>
    <xf numFmtId="0" fontId="10" fillId="9" borderId="41" xfId="1" applyFont="1" applyFill="1" applyBorder="1" applyAlignment="1">
      <alignment horizontal="center" vertical="center" wrapText="1"/>
    </xf>
    <xf numFmtId="0" fontId="10" fillId="9" borderId="21" xfId="1" applyFont="1" applyFill="1" applyBorder="1" applyAlignment="1">
      <alignment horizontal="center" vertical="center" wrapText="1"/>
    </xf>
    <xf numFmtId="0" fontId="10" fillId="9" borderId="2" xfId="1" applyFont="1" applyFill="1" applyBorder="1" applyAlignment="1">
      <alignment horizontal="center" vertical="center" wrapText="1"/>
    </xf>
    <xf numFmtId="0" fontId="10" fillId="9" borderId="34" xfId="1" applyFont="1" applyFill="1" applyBorder="1" applyAlignment="1">
      <alignment horizontal="center" vertical="center" wrapText="1"/>
    </xf>
    <xf numFmtId="0" fontId="10" fillId="9" borderId="51" xfId="1" applyFont="1" applyFill="1" applyBorder="1" applyAlignment="1">
      <alignment horizontal="center" vertical="center" wrapText="1"/>
    </xf>
    <xf numFmtId="0" fontId="10" fillId="9" borderId="11" xfId="1" applyFont="1" applyFill="1" applyBorder="1" applyAlignment="1">
      <alignment horizontal="center" vertical="center" wrapText="1"/>
    </xf>
    <xf numFmtId="0" fontId="10" fillId="9" borderId="14" xfId="1" applyFont="1" applyFill="1" applyBorder="1" applyAlignment="1">
      <alignment horizontal="center" wrapText="1"/>
    </xf>
    <xf numFmtId="0" fontId="10" fillId="9" borderId="20" xfId="1" applyFont="1" applyFill="1" applyBorder="1" applyAlignment="1">
      <alignment horizontal="center" wrapText="1"/>
    </xf>
    <xf numFmtId="0" fontId="2" fillId="9" borderId="24" xfId="1" applyFont="1" applyFill="1" applyBorder="1" applyAlignment="1">
      <alignment horizontal="center" vertical="center" wrapText="1"/>
    </xf>
    <xf numFmtId="0" fontId="2" fillId="9" borderId="50" xfId="1" applyFont="1" applyFill="1" applyBorder="1" applyAlignment="1">
      <alignment horizontal="center" vertical="center" wrapText="1"/>
    </xf>
    <xf numFmtId="0" fontId="2" fillId="9" borderId="37" xfId="1" applyFont="1" applyFill="1" applyBorder="1" applyAlignment="1">
      <alignment horizontal="center" vertical="center" wrapText="1"/>
    </xf>
    <xf numFmtId="0" fontId="2" fillId="9" borderId="16" xfId="1" applyFont="1" applyFill="1" applyBorder="1" applyAlignment="1">
      <alignment horizontal="center" vertical="center" wrapText="1"/>
    </xf>
    <xf numFmtId="0" fontId="10" fillId="10" borderId="34" xfId="1" applyFont="1" applyFill="1" applyBorder="1" applyAlignment="1">
      <alignment horizontal="center" vertical="center" wrapText="1"/>
    </xf>
    <xf numFmtId="0" fontId="10" fillId="10" borderId="11" xfId="1" applyFont="1" applyFill="1" applyBorder="1" applyAlignment="1">
      <alignment horizontal="center" vertical="center" wrapText="1"/>
    </xf>
    <xf numFmtId="0" fontId="2" fillId="10" borderId="24" xfId="1" applyFont="1" applyFill="1" applyBorder="1" applyAlignment="1">
      <alignment horizontal="left" vertical="center" wrapText="1"/>
    </xf>
    <xf numFmtId="0" fontId="2" fillId="0" borderId="50" xfId="1" applyBorder="1" applyAlignment="1">
      <alignment horizontal="left" vertical="center" wrapText="1"/>
    </xf>
    <xf numFmtId="0" fontId="2" fillId="0" borderId="37" xfId="1" applyBorder="1" applyAlignment="1">
      <alignment horizontal="left" vertical="center" wrapText="1"/>
    </xf>
    <xf numFmtId="0" fontId="2" fillId="0" borderId="16" xfId="1" applyBorder="1" applyAlignment="1">
      <alignment horizontal="left" vertical="center" wrapText="1"/>
    </xf>
    <xf numFmtId="0" fontId="10" fillId="10" borderId="41" xfId="1" applyFont="1" applyFill="1" applyBorder="1" applyAlignment="1">
      <alignment horizontal="center" vertical="center" wrapText="1"/>
    </xf>
    <xf numFmtId="0" fontId="10" fillId="10" borderId="2" xfId="1" applyFont="1" applyFill="1" applyBorder="1" applyAlignment="1">
      <alignment horizontal="center" vertical="center" wrapText="1"/>
    </xf>
    <xf numFmtId="165" fontId="45" fillId="0" borderId="18" xfId="1" applyNumberFormat="1" applyFont="1" applyBorder="1" applyAlignment="1">
      <alignment horizontal="center" vertical="top" wrapText="1"/>
    </xf>
    <xf numFmtId="165" fontId="45" fillId="0" borderId="14" xfId="1" applyNumberFormat="1" applyFont="1" applyBorder="1" applyAlignment="1">
      <alignment horizontal="center" vertical="top" wrapText="1"/>
    </xf>
    <xf numFmtId="165" fontId="45" fillId="0" borderId="19" xfId="1" applyNumberFormat="1" applyFont="1" applyBorder="1" applyAlignment="1">
      <alignment horizontal="center" vertical="top" wrapText="1"/>
    </xf>
    <xf numFmtId="165" fontId="45" fillId="0" borderId="20" xfId="1" applyNumberFormat="1" applyFont="1" applyBorder="1" applyAlignment="1">
      <alignment horizontal="center" vertical="top" wrapText="1"/>
    </xf>
    <xf numFmtId="165" fontId="45" fillId="0" borderId="0" xfId="1" applyNumberFormat="1" applyFont="1" applyBorder="1" applyAlignment="1">
      <alignment horizontal="center" vertical="top" wrapText="1"/>
    </xf>
    <xf numFmtId="165" fontId="45" fillId="0" borderId="15" xfId="1" applyNumberFormat="1" applyFont="1" applyBorder="1" applyAlignment="1">
      <alignment horizontal="center" vertical="top" wrapText="1"/>
    </xf>
    <xf numFmtId="165" fontId="45" fillId="0" borderId="16" xfId="1" applyNumberFormat="1" applyFont="1" applyBorder="1" applyAlignment="1">
      <alignment horizontal="center" vertical="top" wrapText="1"/>
    </xf>
    <xf numFmtId="0" fontId="10" fillId="9" borderId="17" xfId="0" applyFont="1" applyFill="1" applyBorder="1" applyAlignment="1" applyProtection="1">
      <alignment horizontal="left" wrapText="1"/>
    </xf>
    <xf numFmtId="0" fontId="10" fillId="9" borderId="21" xfId="0" applyFont="1" applyFill="1" applyBorder="1" applyAlignment="1" applyProtection="1">
      <alignment horizontal="left" wrapText="1"/>
    </xf>
    <xf numFmtId="0" fontId="1" fillId="3" borderId="35" xfId="0" applyFont="1" applyFill="1" applyBorder="1" applyAlignment="1" applyProtection="1">
      <alignment horizontal="center" vertical="center" wrapText="1"/>
      <protection locked="0"/>
    </xf>
    <xf numFmtId="0" fontId="1" fillId="3" borderId="29" xfId="0" applyFont="1" applyFill="1" applyBorder="1" applyAlignment="1" applyProtection="1">
      <alignment horizontal="center" vertical="center" wrapText="1"/>
      <protection locked="0"/>
    </xf>
    <xf numFmtId="0" fontId="1" fillId="3" borderId="34" xfId="0" applyFont="1" applyFill="1" applyBorder="1" applyAlignment="1" applyProtection="1">
      <alignment horizontal="right" vertical="center" wrapText="1"/>
      <protection locked="0"/>
    </xf>
    <xf numFmtId="0" fontId="1" fillId="3" borderId="11" xfId="0" applyFont="1" applyFill="1" applyBorder="1" applyAlignment="1" applyProtection="1">
      <alignment horizontal="right" vertical="center" wrapText="1"/>
      <protection locked="0"/>
    </xf>
    <xf numFmtId="0" fontId="36" fillId="9" borderId="41" xfId="0" applyFont="1" applyFill="1" applyBorder="1" applyAlignment="1" applyProtection="1">
      <alignment horizontal="center" vertical="center" wrapText="1"/>
    </xf>
    <xf numFmtId="0" fontId="36" fillId="9" borderId="21" xfId="0" applyFont="1" applyFill="1" applyBorder="1" applyAlignment="1" applyProtection="1">
      <alignment horizontal="center" vertical="center" wrapText="1"/>
    </xf>
    <xf numFmtId="0" fontId="36" fillId="9" borderId="2" xfId="0" applyFont="1" applyFill="1" applyBorder="1" applyAlignment="1" applyProtection="1">
      <alignment horizontal="center" vertical="center" wrapText="1"/>
    </xf>
    <xf numFmtId="0" fontId="10" fillId="9" borderId="41" xfId="0" applyFont="1" applyFill="1" applyBorder="1" applyAlignment="1" applyProtection="1">
      <alignment horizontal="center" vertical="center" wrapText="1"/>
    </xf>
    <xf numFmtId="0" fontId="10" fillId="9" borderId="21" xfId="0" applyFont="1" applyFill="1" applyBorder="1" applyAlignment="1" applyProtection="1">
      <alignment horizontal="center" vertical="center" wrapText="1"/>
    </xf>
    <xf numFmtId="0" fontId="10" fillId="9" borderId="2" xfId="0" applyFont="1" applyFill="1" applyBorder="1" applyAlignment="1" applyProtection="1">
      <alignment horizontal="center" vertical="center" wrapText="1"/>
    </xf>
    <xf numFmtId="0" fontId="10" fillId="9" borderId="34" xfId="0" applyFont="1" applyFill="1" applyBorder="1" applyAlignment="1" applyProtection="1">
      <alignment horizontal="center" vertical="center" wrapText="1"/>
    </xf>
    <xf numFmtId="0" fontId="10" fillId="9" borderId="51" xfId="0" applyFont="1" applyFill="1" applyBorder="1" applyAlignment="1" applyProtection="1">
      <alignment horizontal="center" vertical="center" wrapText="1"/>
    </xf>
    <xf numFmtId="0" fontId="10" fillId="9" borderId="11" xfId="0" applyFont="1" applyFill="1" applyBorder="1" applyAlignment="1" applyProtection="1">
      <alignment horizontal="center" vertical="center" wrapText="1"/>
    </xf>
    <xf numFmtId="0" fontId="10" fillId="9" borderId="14" xfId="0" applyFont="1" applyFill="1" applyBorder="1" applyAlignment="1" applyProtection="1">
      <alignment horizontal="center" wrapText="1"/>
    </xf>
    <xf numFmtId="0" fontId="10" fillId="9" borderId="20" xfId="0" applyFont="1" applyFill="1" applyBorder="1" applyAlignment="1" applyProtection="1">
      <alignment horizontal="center" wrapText="1"/>
    </xf>
    <xf numFmtId="0" fontId="1" fillId="2" borderId="0" xfId="0" applyFont="1" applyFill="1" applyAlignment="1" applyProtection="1">
      <alignment horizontal="center" vertical="center"/>
      <protection locked="0"/>
    </xf>
    <xf numFmtId="0" fontId="2" fillId="9" borderId="24" xfId="0" applyFont="1" applyFill="1" applyBorder="1" applyAlignment="1" applyProtection="1">
      <alignment horizontal="center" vertical="center" wrapText="1"/>
    </xf>
    <xf numFmtId="0" fontId="2" fillId="9" borderId="50" xfId="0" applyFont="1" applyFill="1" applyBorder="1" applyAlignment="1" applyProtection="1">
      <alignment horizontal="center" vertical="center" wrapText="1"/>
    </xf>
    <xf numFmtId="0" fontId="2" fillId="9" borderId="37" xfId="0" applyFont="1" applyFill="1" applyBorder="1" applyAlignment="1" applyProtection="1">
      <alignment horizontal="center" vertical="center" wrapText="1"/>
    </xf>
    <xf numFmtId="0" fontId="2" fillId="9" borderId="16" xfId="0" applyFont="1" applyFill="1" applyBorder="1" applyAlignment="1" applyProtection="1">
      <alignment horizontal="center" vertical="center" wrapText="1"/>
    </xf>
    <xf numFmtId="0" fontId="2" fillId="7" borderId="42" xfId="0" applyFont="1" applyFill="1" applyBorder="1" applyAlignment="1" applyProtection="1">
      <alignment horizontal="left"/>
      <protection locked="0"/>
    </xf>
    <xf numFmtId="0" fontId="2" fillId="7" borderId="43" xfId="0" applyFont="1" applyFill="1" applyBorder="1" applyAlignment="1" applyProtection="1">
      <alignment horizontal="left"/>
      <protection locked="0"/>
    </xf>
    <xf numFmtId="0" fontId="2" fillId="7" borderId="23" xfId="0" applyFont="1" applyFill="1" applyBorder="1" applyAlignment="1" applyProtection="1">
      <alignment horizontal="left"/>
      <protection locked="0"/>
    </xf>
    <xf numFmtId="0" fontId="10" fillId="9" borderId="17" xfId="0" applyFont="1" applyFill="1" applyBorder="1" applyAlignment="1" applyProtection="1">
      <alignment horizontal="center" wrapText="1"/>
    </xf>
    <xf numFmtId="0" fontId="10" fillId="9" borderId="21" xfId="0" applyFont="1" applyFill="1" applyBorder="1" applyAlignment="1" applyProtection="1">
      <alignment horizontal="center" wrapText="1"/>
    </xf>
    <xf numFmtId="0" fontId="1" fillId="0" borderId="28" xfId="0" applyFont="1" applyBorder="1" applyAlignment="1" applyProtection="1">
      <alignment horizontal="center" vertical="center" textRotation="90"/>
    </xf>
    <xf numFmtId="0" fontId="1" fillId="0" borderId="25" xfId="0" applyFont="1" applyBorder="1" applyAlignment="1" applyProtection="1">
      <alignment horizontal="center" vertical="center" textRotation="90"/>
    </xf>
    <xf numFmtId="0" fontId="1" fillId="0" borderId="31" xfId="0" applyFont="1" applyBorder="1" applyAlignment="1" applyProtection="1">
      <alignment horizontal="center" vertical="center" textRotation="90"/>
    </xf>
    <xf numFmtId="0" fontId="1" fillId="0" borderId="10" xfId="0" applyFont="1" applyBorder="1" applyAlignment="1" applyProtection="1">
      <alignment horizontal="center" vertical="center" textRotation="90"/>
    </xf>
    <xf numFmtId="0" fontId="26" fillId="6" borderId="44" xfId="0" applyFont="1" applyFill="1" applyBorder="1" applyAlignment="1" applyProtection="1">
      <alignment horizontal="right" vertical="center"/>
    </xf>
    <xf numFmtId="0" fontId="26" fillId="6" borderId="29" xfId="0" applyFont="1" applyFill="1" applyBorder="1" applyAlignment="1" applyProtection="1">
      <alignment horizontal="right" vertical="center"/>
    </xf>
    <xf numFmtId="0" fontId="1" fillId="6" borderId="48" xfId="0" applyFont="1" applyFill="1" applyBorder="1" applyAlignment="1" applyProtection="1">
      <alignment horizontal="right" vertical="center"/>
    </xf>
    <xf numFmtId="0" fontId="0" fillId="6" borderId="22" xfId="0" applyFill="1" applyBorder="1" applyAlignment="1" applyProtection="1">
      <alignment horizontal="right" vertical="center"/>
    </xf>
    <xf numFmtId="165" fontId="45" fillId="0" borderId="19" xfId="0" applyNumberFormat="1" applyFont="1" applyBorder="1" applyAlignment="1" applyProtection="1">
      <alignment horizontal="center" vertical="top" wrapText="1"/>
      <protection locked="0"/>
    </xf>
    <xf numFmtId="165" fontId="45" fillId="0" borderId="20" xfId="0" applyNumberFormat="1" applyFont="1" applyBorder="1" applyAlignment="1" applyProtection="1">
      <alignment horizontal="center" vertical="top" wrapText="1"/>
      <protection locked="0"/>
    </xf>
    <xf numFmtId="0" fontId="10" fillId="9" borderId="17" xfId="1" applyFont="1" applyFill="1" applyBorder="1" applyAlignment="1" applyProtection="1">
      <alignment horizontal="left" wrapText="1"/>
    </xf>
    <xf numFmtId="0" fontId="10" fillId="9" borderId="21" xfId="1" applyFont="1" applyFill="1" applyBorder="1" applyAlignment="1" applyProtection="1">
      <alignment horizontal="left" wrapText="1"/>
    </xf>
    <xf numFmtId="0" fontId="1" fillId="3" borderId="35" xfId="1" applyFont="1" applyFill="1" applyBorder="1" applyAlignment="1" applyProtection="1">
      <alignment horizontal="center" vertical="center" wrapText="1"/>
      <protection locked="0"/>
    </xf>
    <xf numFmtId="0" fontId="1" fillId="3" borderId="29" xfId="1" applyFont="1" applyFill="1" applyBorder="1" applyAlignment="1" applyProtection="1">
      <alignment horizontal="center" vertical="center" wrapText="1"/>
      <protection locked="0"/>
    </xf>
    <xf numFmtId="0" fontId="1" fillId="3" borderId="34" xfId="1" applyFont="1" applyFill="1" applyBorder="1" applyAlignment="1" applyProtection="1">
      <alignment horizontal="right" vertical="center" wrapText="1"/>
      <protection locked="0"/>
    </xf>
    <xf numFmtId="0" fontId="1" fillId="3" borderId="11" xfId="1" applyFont="1" applyFill="1" applyBorder="1" applyAlignment="1" applyProtection="1">
      <alignment horizontal="right" vertical="center" wrapText="1"/>
      <protection locked="0"/>
    </xf>
    <xf numFmtId="0" fontId="36" fillId="9" borderId="41" xfId="1" applyFont="1" applyFill="1" applyBorder="1" applyAlignment="1" applyProtection="1">
      <alignment horizontal="center" vertical="center" wrapText="1"/>
    </xf>
    <xf numFmtId="0" fontId="36" fillId="9" borderId="21" xfId="1" applyFont="1" applyFill="1" applyBorder="1" applyAlignment="1" applyProtection="1">
      <alignment horizontal="center" vertical="center" wrapText="1"/>
    </xf>
    <xf numFmtId="0" fontId="36" fillId="9" borderId="2" xfId="1" applyFont="1" applyFill="1" applyBorder="1" applyAlignment="1" applyProtection="1">
      <alignment horizontal="center" vertical="center" wrapText="1"/>
    </xf>
    <xf numFmtId="0" fontId="10" fillId="9" borderId="41" xfId="1" applyFont="1" applyFill="1" applyBorder="1" applyAlignment="1" applyProtection="1">
      <alignment horizontal="center" vertical="center" wrapText="1"/>
    </xf>
    <xf numFmtId="0" fontId="10" fillId="9" borderId="21" xfId="1" applyFont="1" applyFill="1" applyBorder="1" applyAlignment="1" applyProtection="1">
      <alignment horizontal="center" vertical="center" wrapText="1"/>
    </xf>
    <xf numFmtId="0" fontId="10" fillId="9" borderId="2" xfId="1" applyFont="1" applyFill="1" applyBorder="1" applyAlignment="1" applyProtection="1">
      <alignment horizontal="center" vertical="center" wrapText="1"/>
    </xf>
    <xf numFmtId="0" fontId="10" fillId="9" borderId="34" xfId="1" applyFont="1" applyFill="1" applyBorder="1" applyAlignment="1" applyProtection="1">
      <alignment horizontal="center" vertical="center" wrapText="1"/>
    </xf>
    <xf numFmtId="0" fontId="10" fillId="9" borderId="51" xfId="1" applyFont="1" applyFill="1" applyBorder="1" applyAlignment="1" applyProtection="1">
      <alignment horizontal="center" vertical="center" wrapText="1"/>
    </xf>
    <xf numFmtId="0" fontId="10" fillId="9" borderId="11" xfId="1" applyFont="1" applyFill="1" applyBorder="1" applyAlignment="1" applyProtection="1">
      <alignment horizontal="center" vertical="center" wrapText="1"/>
    </xf>
    <xf numFmtId="0" fontId="10" fillId="9" borderId="14" xfId="1" applyFont="1" applyFill="1" applyBorder="1" applyAlignment="1" applyProtection="1">
      <alignment horizontal="center" wrapText="1"/>
    </xf>
    <xf numFmtId="0" fontId="10" fillId="9" borderId="20" xfId="1" applyFont="1" applyFill="1" applyBorder="1" applyAlignment="1" applyProtection="1">
      <alignment horizontal="center" wrapText="1"/>
    </xf>
    <xf numFmtId="0" fontId="1" fillId="2" borderId="0" xfId="1" applyFont="1" applyFill="1" applyAlignment="1" applyProtection="1">
      <alignment horizontal="center" vertical="center"/>
      <protection locked="0"/>
    </xf>
    <xf numFmtId="0" fontId="2" fillId="9" borderId="24" xfId="1" applyFont="1" applyFill="1" applyBorder="1" applyAlignment="1" applyProtection="1">
      <alignment horizontal="center" vertical="center" wrapText="1"/>
    </xf>
    <xf numFmtId="0" fontId="2" fillId="9" borderId="50" xfId="1" applyFont="1" applyFill="1" applyBorder="1" applyAlignment="1" applyProtection="1">
      <alignment horizontal="center" vertical="center" wrapText="1"/>
    </xf>
    <xf numFmtId="0" fontId="2" fillId="9" borderId="37" xfId="1" applyFont="1" applyFill="1" applyBorder="1" applyAlignment="1" applyProtection="1">
      <alignment horizontal="center" vertical="center" wrapText="1"/>
    </xf>
    <xf numFmtId="0" fontId="2" fillId="9" borderId="16" xfId="1" applyFont="1" applyFill="1" applyBorder="1" applyAlignment="1" applyProtection="1">
      <alignment horizontal="center" vertical="center" wrapText="1"/>
    </xf>
    <xf numFmtId="0" fontId="2" fillId="7" borderId="42" xfId="1" applyFont="1" applyFill="1" applyBorder="1" applyAlignment="1" applyProtection="1">
      <alignment horizontal="left"/>
      <protection locked="0"/>
    </xf>
    <xf numFmtId="0" fontId="2" fillId="7" borderId="43" xfId="1" applyFont="1" applyFill="1" applyBorder="1" applyAlignment="1" applyProtection="1">
      <alignment horizontal="left"/>
      <protection locked="0"/>
    </xf>
    <xf numFmtId="0" fontId="2" fillId="7" borderId="23" xfId="1" applyFont="1" applyFill="1" applyBorder="1" applyAlignment="1" applyProtection="1">
      <alignment horizontal="left"/>
      <protection locked="0"/>
    </xf>
    <xf numFmtId="0" fontId="10" fillId="9" borderId="17" xfId="1" applyFont="1" applyFill="1" applyBorder="1" applyAlignment="1" applyProtection="1">
      <alignment horizontal="center" wrapText="1"/>
    </xf>
    <xf numFmtId="0" fontId="10" fillId="9" borderId="21" xfId="1" applyFont="1" applyFill="1" applyBorder="1" applyAlignment="1" applyProtection="1">
      <alignment horizontal="center" wrapText="1"/>
    </xf>
    <xf numFmtId="0" fontId="1" fillId="0" borderId="28" xfId="1" applyFont="1" applyBorder="1" applyAlignment="1" applyProtection="1">
      <alignment horizontal="center" vertical="center" textRotation="90"/>
    </xf>
    <xf numFmtId="0" fontId="1" fillId="0" borderId="25" xfId="1" applyFont="1" applyBorder="1" applyAlignment="1" applyProtection="1">
      <alignment horizontal="center" vertical="center" textRotation="90"/>
    </xf>
    <xf numFmtId="0" fontId="1" fillId="0" borderId="31" xfId="1" applyFont="1" applyBorder="1" applyAlignment="1" applyProtection="1">
      <alignment horizontal="center" vertical="center" textRotation="90"/>
    </xf>
    <xf numFmtId="0" fontId="1" fillId="0" borderId="10" xfId="1" applyFont="1" applyBorder="1" applyAlignment="1" applyProtection="1">
      <alignment horizontal="center" vertical="center" textRotation="90"/>
    </xf>
    <xf numFmtId="0" fontId="26" fillId="6" borderId="44" xfId="1" applyFont="1" applyFill="1" applyBorder="1" applyAlignment="1" applyProtection="1">
      <alignment horizontal="right" vertical="center"/>
    </xf>
    <xf numFmtId="0" fontId="26" fillId="6" borderId="29" xfId="1" applyFont="1" applyFill="1" applyBorder="1" applyAlignment="1" applyProtection="1">
      <alignment horizontal="right" vertical="center"/>
    </xf>
    <xf numFmtId="0" fontId="1" fillId="6" borderId="48" xfId="1" applyFont="1" applyFill="1" applyBorder="1" applyAlignment="1" applyProtection="1">
      <alignment horizontal="right" vertical="center"/>
    </xf>
    <xf numFmtId="0" fontId="2" fillId="6" borderId="22" xfId="1" applyFill="1" applyBorder="1" applyAlignment="1" applyProtection="1">
      <alignment horizontal="right" vertical="center"/>
    </xf>
    <xf numFmtId="0" fontId="26" fillId="6" borderId="39" xfId="1" applyFont="1" applyFill="1" applyBorder="1" applyAlignment="1">
      <alignment horizontal="right" vertical="center"/>
    </xf>
    <xf numFmtId="0" fontId="10" fillId="10" borderId="41" xfId="0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 wrapText="1"/>
    </xf>
    <xf numFmtId="0" fontId="2" fillId="10" borderId="24" xfId="0" applyFont="1" applyFill="1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0" fontId="0" fillId="0" borderId="37" xfId="0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10" fillId="10" borderId="34" xfId="0" applyFont="1" applyFill="1" applyBorder="1" applyAlignment="1">
      <alignment horizontal="center" vertical="center" wrapText="1"/>
    </xf>
    <xf numFmtId="0" fontId="10" fillId="10" borderId="11" xfId="0" applyFont="1" applyFill="1" applyBorder="1" applyAlignment="1">
      <alignment horizontal="center" vertical="center" wrapText="1"/>
    </xf>
    <xf numFmtId="0" fontId="1" fillId="6" borderId="44" xfId="1" applyFont="1" applyFill="1" applyBorder="1" applyAlignment="1">
      <alignment horizontal="right" vertical="center"/>
    </xf>
    <xf numFmtId="0" fontId="1" fillId="6" borderId="39" xfId="1" applyFont="1" applyFill="1" applyBorder="1" applyAlignment="1">
      <alignment horizontal="right" vertical="center"/>
    </xf>
    <xf numFmtId="0" fontId="31" fillId="0" borderId="46" xfId="0" applyFont="1" applyBorder="1" applyAlignment="1">
      <alignment horizontal="center"/>
    </xf>
    <xf numFmtId="0" fontId="2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0" fontId="2" fillId="0" borderId="46" xfId="0" applyFont="1" applyBorder="1" applyAlignment="1">
      <alignment horizontal="center"/>
    </xf>
    <xf numFmtId="0" fontId="0" fillId="0" borderId="46" xfId="0" applyBorder="1" applyAlignment="1">
      <alignment horizontal="center"/>
    </xf>
    <xf numFmtId="11" fontId="0" fillId="0" borderId="46" xfId="0" applyNumberFormat="1" applyBorder="1" applyAlignment="1">
      <alignment horizontal="center"/>
    </xf>
    <xf numFmtId="0" fontId="0" fillId="0" borderId="46" xfId="0" applyFill="1" applyBorder="1" applyAlignment="1">
      <alignment horizontal="center"/>
    </xf>
    <xf numFmtId="11" fontId="0" fillId="12" borderId="0" xfId="0" applyNumberFormat="1" applyFill="1" applyAlignment="1">
      <alignment horizontal="center"/>
    </xf>
    <xf numFmtId="11" fontId="0" fillId="13" borderId="0" xfId="0" applyNumberFormat="1" applyFill="1" applyAlignment="1">
      <alignment horizontal="center"/>
    </xf>
    <xf numFmtId="0" fontId="2" fillId="0" borderId="0" xfId="0" applyFont="1" applyFill="1" applyAlignment="1">
      <alignment horizontal="center"/>
    </xf>
    <xf numFmtId="11" fontId="0" fillId="0" borderId="0" xfId="0" applyNumberFormat="1" applyFill="1" applyAlignment="1">
      <alignment horizontal="center"/>
    </xf>
    <xf numFmtId="11" fontId="0" fillId="0" borderId="46" xfId="0" applyNumberFormat="1" applyFill="1" applyBorder="1" applyAlignment="1">
      <alignment horizontal="center"/>
    </xf>
    <xf numFmtId="0" fontId="2" fillId="0" borderId="46" xfId="0" applyFont="1" applyFill="1" applyBorder="1" applyAlignment="1">
      <alignment horizontal="center"/>
    </xf>
    <xf numFmtId="14" fontId="2" fillId="0" borderId="0" xfId="0" applyNumberFormat="1" applyFont="1" applyFill="1" applyAlignment="1">
      <alignment horizontal="center"/>
    </xf>
    <xf numFmtId="0" fontId="42" fillId="0" borderId="0" xfId="0" applyFont="1" applyFill="1" applyAlignment="1">
      <alignment horizontal="center"/>
    </xf>
  </cellXfs>
  <cellStyles count="2">
    <cellStyle name="Standard" xfId="0" builtinId="0"/>
    <cellStyle name="Standard 2" xfId="1"/>
  </cellStyles>
  <dxfs count="0"/>
  <tableStyles count="0" defaultTableStyle="TableStyleMedium9" defaultPivotStyle="PivotStyleLight16"/>
  <colors>
    <mruColors>
      <color rgb="FF66FFFF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externalLink" Target="externalLinks/externalLink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theme" Target="theme/theme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6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0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0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8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4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0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4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8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0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6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2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6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8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0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4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6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0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4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6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8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4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2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4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6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0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6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0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2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4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8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0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4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8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0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2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6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8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6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8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0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4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0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2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0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2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4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8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0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4.xml"/></Relationships>
</file>

<file path=xl/charts/_rels/chart1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8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0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2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6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'1'!$G$12:$G$24</c:f>
              <c:numCache>
                <c:formatCode>0.0</c:formatCode>
                <c:ptCount val="13"/>
                <c:pt idx="0">
                  <c:v>100</c:v>
                </c:pt>
                <c:pt idx="1">
                  <c:v>74.469877826148007</c:v>
                </c:pt>
                <c:pt idx="2">
                  <c:v>45.246454149698074</c:v>
                </c:pt>
                <c:pt idx="3">
                  <c:v>29.040865047043951</c:v>
                </c:pt>
                <c:pt idx="4">
                  <c:v>26.232270748490379</c:v>
                </c:pt>
                <c:pt idx="5">
                  <c:v>21.022328324673499</c:v>
                </c:pt>
                <c:pt idx="6">
                  <c:v>16.809436876843137</c:v>
                </c:pt>
                <c:pt idx="7">
                  <c:v>11.037775593315542</c:v>
                </c:pt>
                <c:pt idx="8">
                  <c:v>7.0776576323550042</c:v>
                </c:pt>
                <c:pt idx="9">
                  <c:v>6.0946496278612532</c:v>
                </c:pt>
                <c:pt idx="10">
                  <c:v>1.8255862940598204</c:v>
                </c:pt>
                <c:pt idx="11">
                  <c:v>0.92683611852267667</c:v>
                </c:pt>
                <c:pt idx="12">
                  <c:v>0.49150400224687268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64-428B-9EA8-97C1F3293FB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64-428B-9EA8-97C1F3293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800576"/>
        <c:axId val="101997952"/>
      </c:scatterChart>
      <c:valAx>
        <c:axId val="1018005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1997952"/>
        <c:crosses val="autoZero"/>
        <c:crossBetween val="midCat"/>
      </c:valAx>
      <c:valAx>
        <c:axId val="1019979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18005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83.486801718845925</c:v>
                </c:pt>
                <c:pt idx="3">
                  <c:v>57.581338244321678</c:v>
                </c:pt>
                <c:pt idx="4">
                  <c:v>54.573357888275027</c:v>
                </c:pt>
                <c:pt idx="5">
                  <c:v>48.987108655616957</c:v>
                </c:pt>
                <c:pt idx="6">
                  <c:v>43.953345610804192</c:v>
                </c:pt>
                <c:pt idx="7">
                  <c:v>38.919582565991426</c:v>
                </c:pt>
                <c:pt idx="8">
                  <c:v>34.376918354818926</c:v>
                </c:pt>
                <c:pt idx="9">
                  <c:v>29.588704726826293</c:v>
                </c:pt>
                <c:pt idx="10">
                  <c:v>13.382443216697382</c:v>
                </c:pt>
                <c:pt idx="11">
                  <c:v>3.3149171270718458</c:v>
                </c:pt>
                <c:pt idx="12">
                  <c:v>0.92081031307552941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5-4DD3-9369-EC4491146F1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55-4DD3-9369-EC4491146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22944"/>
        <c:axId val="102325248"/>
      </c:scatterChart>
      <c:valAx>
        <c:axId val="10232294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325248"/>
        <c:crosses val="autoZero"/>
        <c:crossBetween val="midCat"/>
      </c:valAx>
      <c:valAx>
        <c:axId val="1023252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32294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78.392603129445234</c:v>
                </c:pt>
                <c:pt idx="3">
                  <c:v>57.581792318634427</c:v>
                </c:pt>
                <c:pt idx="4">
                  <c:v>52.41820768136558</c:v>
                </c:pt>
                <c:pt idx="5">
                  <c:v>46.699857752489336</c:v>
                </c:pt>
                <c:pt idx="6">
                  <c:v>39.701280227596023</c:v>
                </c:pt>
                <c:pt idx="7">
                  <c:v>31.749644381223334</c:v>
                </c:pt>
                <c:pt idx="8">
                  <c:v>22.361308677098158</c:v>
                </c:pt>
                <c:pt idx="9">
                  <c:v>17.041251778093891</c:v>
                </c:pt>
                <c:pt idx="10">
                  <c:v>3.243243243243251</c:v>
                </c:pt>
                <c:pt idx="11">
                  <c:v>1.4651493598862095</c:v>
                </c:pt>
                <c:pt idx="12">
                  <c:v>0.88193456614510002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6-413D-80AB-4EF63C90E98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6-413D-80AB-4EF63C90E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22880"/>
        <c:axId val="102525184"/>
      </c:scatterChart>
      <c:valAx>
        <c:axId val="1025228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525184"/>
        <c:crosses val="autoZero"/>
        <c:crossBetween val="midCat"/>
      </c:valAx>
      <c:valAx>
        <c:axId val="1025251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5228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69.803412833050587</c:v>
                </c:pt>
                <c:pt idx="3">
                  <c:v>53.24817882446861</c:v>
                </c:pt>
                <c:pt idx="4">
                  <c:v>49.146791737351556</c:v>
                </c:pt>
                <c:pt idx="5">
                  <c:v>43.189302464823861</c:v>
                </c:pt>
                <c:pt idx="6">
                  <c:v>34.896716894521496</c:v>
                </c:pt>
                <c:pt idx="7">
                  <c:v>25.805807803612403</c:v>
                </c:pt>
                <c:pt idx="8">
                  <c:v>11.366131124638249</c:v>
                </c:pt>
                <c:pt idx="9">
                  <c:v>9.5898612912882832</c:v>
                </c:pt>
                <c:pt idx="10">
                  <c:v>1.5667099091906866</c:v>
                </c:pt>
                <c:pt idx="11">
                  <c:v>0.77836543259154467</c:v>
                </c:pt>
                <c:pt idx="12">
                  <c:v>0.48897315637160654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4F-48F4-B694-371608F1163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4F-48F4-B694-371608F1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58336"/>
        <c:axId val="102761600"/>
      </c:scatterChart>
      <c:valAx>
        <c:axId val="1025583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761600"/>
        <c:crosses val="autoZero"/>
        <c:crossBetween val="midCat"/>
      </c:valAx>
      <c:valAx>
        <c:axId val="1027616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5583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'5'!$B$12:$B$24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'5'!$G$12:$G$24</c:f>
              <c:numCache>
                <c:formatCode>0.0</c:formatCode>
                <c:ptCount val="13"/>
                <c:pt idx="0">
                  <c:v>100</c:v>
                </c:pt>
                <c:pt idx="1">
                  <c:v>82.446206115515295</c:v>
                </c:pt>
                <c:pt idx="2">
                  <c:v>66.652147399599272</c:v>
                </c:pt>
                <c:pt idx="3">
                  <c:v>49.621047129540905</c:v>
                </c:pt>
                <c:pt idx="4">
                  <c:v>45.352382611725766</c:v>
                </c:pt>
                <c:pt idx="5">
                  <c:v>39.297848244620617</c:v>
                </c:pt>
                <c:pt idx="6">
                  <c:v>30.786653889711651</c:v>
                </c:pt>
                <c:pt idx="7">
                  <c:v>21.839881522780736</c:v>
                </c:pt>
                <c:pt idx="8">
                  <c:v>12.718877951041037</c:v>
                </c:pt>
                <c:pt idx="9">
                  <c:v>11.603798240264837</c:v>
                </c:pt>
                <c:pt idx="10">
                  <c:v>1.9601010540987946</c:v>
                </c:pt>
                <c:pt idx="11">
                  <c:v>1.0453872288526931</c:v>
                </c:pt>
                <c:pt idx="12">
                  <c:v>0.68821325899469166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9-4F73-8E68-496FC83878A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F9-4F73-8E68-496FC8387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72096"/>
        <c:axId val="104198528"/>
      </c:scatterChart>
      <c:valAx>
        <c:axId val="1027720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198528"/>
        <c:crosses val="autoZero"/>
        <c:crossBetween val="midCat"/>
      </c:valAx>
      <c:valAx>
        <c:axId val="1041985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27720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'6'!$G$12:$G$24</c:f>
              <c:numCache>
                <c:formatCode>0.0</c:formatCode>
                <c:ptCount val="13"/>
                <c:pt idx="0">
                  <c:v>100</c:v>
                </c:pt>
                <c:pt idx="1">
                  <c:v>61.295069904341418</c:v>
                </c:pt>
                <c:pt idx="2">
                  <c:v>39.403973509933763</c:v>
                </c:pt>
                <c:pt idx="3">
                  <c:v>27.520235467255322</c:v>
                </c:pt>
                <c:pt idx="4">
                  <c:v>25.680647534952158</c:v>
                </c:pt>
                <c:pt idx="5">
                  <c:v>23.620309050772612</c:v>
                </c:pt>
                <c:pt idx="6">
                  <c:v>21.817512877115512</c:v>
                </c:pt>
                <c:pt idx="7">
                  <c:v>15.673289183222941</c:v>
                </c:pt>
                <c:pt idx="8">
                  <c:v>9.896983075791006</c:v>
                </c:pt>
                <c:pt idx="9">
                  <c:v>8.535688005886664</c:v>
                </c:pt>
                <c:pt idx="10">
                  <c:v>0.95658572479762594</c:v>
                </c:pt>
                <c:pt idx="11">
                  <c:v>0.44150110375273988</c:v>
                </c:pt>
                <c:pt idx="12">
                  <c:v>0.25754231052242343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B-4791-A7EF-2CDC784C92B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3B-4791-A7EF-2CDC784C9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77120"/>
        <c:axId val="104279424"/>
      </c:scatterChart>
      <c:valAx>
        <c:axId val="1042771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279424"/>
        <c:crosses val="autoZero"/>
        <c:crossBetween val="midCat"/>
      </c:valAx>
      <c:valAx>
        <c:axId val="1042794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2771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'7'!$G$12:$G$24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84.893005429575211</c:v>
                </c:pt>
                <c:pt idx="3">
                  <c:v>63.478122005748958</c:v>
                </c:pt>
                <c:pt idx="4">
                  <c:v>58.990737783455764</c:v>
                </c:pt>
                <c:pt idx="5">
                  <c:v>52.028106036410094</c:v>
                </c:pt>
                <c:pt idx="6">
                  <c:v>42.159054615138935</c:v>
                </c:pt>
                <c:pt idx="7">
                  <c:v>28.633024592781858</c:v>
                </c:pt>
                <c:pt idx="8">
                  <c:v>17.997444905780903</c:v>
                </c:pt>
                <c:pt idx="9">
                  <c:v>15.490258703289687</c:v>
                </c:pt>
                <c:pt idx="10">
                  <c:v>3.6569786010859211</c:v>
                </c:pt>
                <c:pt idx="11">
                  <c:v>1.8364739699776489</c:v>
                </c:pt>
                <c:pt idx="12">
                  <c:v>1.0220376876397379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A4-4EC4-8CA9-AF4939C9386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A4-4EC4-8CA9-AF4939C93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327040"/>
        <c:axId val="104331904"/>
      </c:scatterChart>
      <c:valAx>
        <c:axId val="1043270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331904"/>
        <c:crosses val="autoZero"/>
        <c:crossBetween val="midCat"/>
      </c:valAx>
      <c:valAx>
        <c:axId val="10433190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3270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'8'!$G$12:$G$24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93.723108073905337</c:v>
                </c:pt>
                <c:pt idx="3">
                  <c:v>88.686408504176157</c:v>
                </c:pt>
                <c:pt idx="4">
                  <c:v>86.43381422424703</c:v>
                </c:pt>
                <c:pt idx="5">
                  <c:v>82.181726145279683</c:v>
                </c:pt>
                <c:pt idx="6">
                  <c:v>73.626929891166796</c:v>
                </c:pt>
                <c:pt idx="7">
                  <c:v>55.833966084535561</c:v>
                </c:pt>
                <c:pt idx="8">
                  <c:v>35.43406732472792</c:v>
                </c:pt>
                <c:pt idx="9">
                  <c:v>28.094153378891424</c:v>
                </c:pt>
                <c:pt idx="10">
                  <c:v>4.4545684636800829</c:v>
                </c:pt>
                <c:pt idx="11">
                  <c:v>1.7970134143254892</c:v>
                </c:pt>
                <c:pt idx="12">
                  <c:v>1.0883320678309309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2-4867-8E4B-922196CC3EC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2-4867-8E4B-922196CC3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18016"/>
        <c:axId val="104519552"/>
      </c:scatterChart>
      <c:valAx>
        <c:axId val="10451801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519552"/>
        <c:crosses val="autoZero"/>
        <c:crossBetween val="midCat"/>
      </c:valAx>
      <c:valAx>
        <c:axId val="1045195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51801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'9'!$G$12:$G$24</c:f>
              <c:numCache>
                <c:formatCode>0.0</c:formatCode>
                <c:ptCount val="13"/>
                <c:pt idx="0">
                  <c:v>100</c:v>
                </c:pt>
                <c:pt idx="1">
                  <c:v>89.491697300038027</c:v>
                </c:pt>
                <c:pt idx="2">
                  <c:v>60.578020027886936</c:v>
                </c:pt>
                <c:pt idx="3">
                  <c:v>43.83318544809228</c:v>
                </c:pt>
                <c:pt idx="4">
                  <c:v>39.536062872353909</c:v>
                </c:pt>
                <c:pt idx="5">
                  <c:v>33.793890226898213</c:v>
                </c:pt>
                <c:pt idx="6">
                  <c:v>26.784129800988719</c:v>
                </c:pt>
                <c:pt idx="7">
                  <c:v>17.936367093421218</c:v>
                </c:pt>
                <c:pt idx="8">
                  <c:v>12.523767270883507</c:v>
                </c:pt>
                <c:pt idx="9">
                  <c:v>9.6463430092533891</c:v>
                </c:pt>
                <c:pt idx="10">
                  <c:v>1.9647610597033829</c:v>
                </c:pt>
                <c:pt idx="11">
                  <c:v>1.0013943465584978</c:v>
                </c:pt>
                <c:pt idx="12">
                  <c:v>0.63379389022689681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29-49EF-8108-FA2317B3E32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9-49EF-8108-FA2317B3E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09280"/>
        <c:axId val="104842368"/>
      </c:scatterChart>
      <c:valAx>
        <c:axId val="1046092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842368"/>
        <c:crosses val="autoZero"/>
        <c:crossBetween val="midCat"/>
      </c:valAx>
      <c:valAx>
        <c:axId val="1048423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6092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'10'!$G$12:$G$24</c:f>
              <c:numCache>
                <c:formatCode>0.0</c:formatCode>
                <c:ptCount val="13"/>
                <c:pt idx="0">
                  <c:v>100</c:v>
                </c:pt>
                <c:pt idx="1">
                  <c:v>81.869599371563226</c:v>
                </c:pt>
                <c:pt idx="2">
                  <c:v>69.410840534171243</c:v>
                </c:pt>
                <c:pt idx="3">
                  <c:v>58.523173605655927</c:v>
                </c:pt>
                <c:pt idx="4">
                  <c:v>55.365278868813824</c:v>
                </c:pt>
                <c:pt idx="5">
                  <c:v>49.363707776904945</c:v>
                </c:pt>
                <c:pt idx="6">
                  <c:v>37.941869599371557</c:v>
                </c:pt>
                <c:pt idx="7">
                  <c:v>22.4980361351139</c:v>
                </c:pt>
                <c:pt idx="8">
                  <c:v>12.333071484681849</c:v>
                </c:pt>
                <c:pt idx="9">
                  <c:v>6.4257659073055722</c:v>
                </c:pt>
                <c:pt idx="10">
                  <c:v>1.8695993715632309</c:v>
                </c:pt>
                <c:pt idx="11">
                  <c:v>1.0683424980361296</c:v>
                </c:pt>
                <c:pt idx="12">
                  <c:v>0.69128043990572896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2D-43EE-BD34-BEB4DD275A9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2D-43EE-BD34-BEB4DD275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22368"/>
        <c:axId val="105324928"/>
      </c:scatterChart>
      <c:valAx>
        <c:axId val="1053223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324928"/>
        <c:crosses val="autoZero"/>
        <c:crossBetween val="midCat"/>
      </c:valAx>
      <c:valAx>
        <c:axId val="1053249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3223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'11'!$G$12:$G$24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91.919656547071455</c:v>
                </c:pt>
                <c:pt idx="3">
                  <c:v>88.837779822140448</c:v>
                </c:pt>
                <c:pt idx="4">
                  <c:v>86.338546458141678</c:v>
                </c:pt>
                <c:pt idx="5">
                  <c:v>82.996013492793622</c:v>
                </c:pt>
                <c:pt idx="6">
                  <c:v>77.460901563937441</c:v>
                </c:pt>
                <c:pt idx="7">
                  <c:v>61.054891137687825</c:v>
                </c:pt>
                <c:pt idx="8">
                  <c:v>16.865992026985587</c:v>
                </c:pt>
                <c:pt idx="9">
                  <c:v>4.1245016865992046</c:v>
                </c:pt>
                <c:pt idx="10">
                  <c:v>1.1499540018399288</c:v>
                </c:pt>
                <c:pt idx="11">
                  <c:v>0.85863232137381418</c:v>
                </c:pt>
                <c:pt idx="12">
                  <c:v>0.41398344066237602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7F-43C7-99BF-0EA07985E4F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7F-43C7-99BF-0EA07985E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51808"/>
        <c:axId val="105364864"/>
      </c:scatterChart>
      <c:valAx>
        <c:axId val="10535180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364864"/>
        <c:crosses val="autoZero"/>
        <c:crossBetween val="midCat"/>
      </c:valAx>
      <c:valAx>
        <c:axId val="1053648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35180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'12'!$G$12:$G$24</c:f>
              <c:numCache>
                <c:formatCode>0.0</c:formatCode>
                <c:ptCount val="13"/>
                <c:pt idx="0">
                  <c:v>100</c:v>
                </c:pt>
                <c:pt idx="1">
                  <c:v>85.940198127783333</c:v>
                </c:pt>
                <c:pt idx="2">
                  <c:v>66.709079341997636</c:v>
                </c:pt>
                <c:pt idx="3">
                  <c:v>49.695537580659824</c:v>
                </c:pt>
                <c:pt idx="4">
                  <c:v>45.269471962192135</c:v>
                </c:pt>
                <c:pt idx="5">
                  <c:v>39.143869853676279</c:v>
                </c:pt>
                <c:pt idx="6">
                  <c:v>31.509588294101619</c:v>
                </c:pt>
                <c:pt idx="7">
                  <c:v>22.73016450059076</c:v>
                </c:pt>
                <c:pt idx="8">
                  <c:v>10.833409070253582</c:v>
                </c:pt>
                <c:pt idx="9">
                  <c:v>4.2170317186222102</c:v>
                </c:pt>
                <c:pt idx="10">
                  <c:v>1.5086794510588186</c:v>
                </c:pt>
                <c:pt idx="11">
                  <c:v>0.83613559938200321</c:v>
                </c:pt>
                <c:pt idx="12">
                  <c:v>0.57257111696811613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F-44E2-8016-1AC271576CF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EF-44E2-8016-1AC271576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47680"/>
        <c:axId val="104249984"/>
      </c:scatterChart>
      <c:valAx>
        <c:axId val="1042476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249984"/>
        <c:crosses val="autoZero"/>
        <c:crossBetween val="midCat"/>
      </c:valAx>
      <c:valAx>
        <c:axId val="1042499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42476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'13'!$G$12:$G$24</c:f>
              <c:numCache>
                <c:formatCode>0.0</c:formatCode>
                <c:ptCount val="13"/>
                <c:pt idx="0">
                  <c:v>100</c:v>
                </c:pt>
                <c:pt idx="1">
                  <c:v>67.783251231527089</c:v>
                </c:pt>
                <c:pt idx="2">
                  <c:v>48.144499178981931</c:v>
                </c:pt>
                <c:pt idx="3">
                  <c:v>42.036124794745476</c:v>
                </c:pt>
                <c:pt idx="4">
                  <c:v>39.967159277504095</c:v>
                </c:pt>
                <c:pt idx="5">
                  <c:v>37.602627257799661</c:v>
                </c:pt>
                <c:pt idx="6">
                  <c:v>34.187192118226591</c:v>
                </c:pt>
                <c:pt idx="7">
                  <c:v>23.349753694581267</c:v>
                </c:pt>
                <c:pt idx="8">
                  <c:v>16.551724137931018</c:v>
                </c:pt>
                <c:pt idx="9">
                  <c:v>11.88834154351394</c:v>
                </c:pt>
                <c:pt idx="10">
                  <c:v>1.9704433497536762</c:v>
                </c:pt>
                <c:pt idx="11">
                  <c:v>0.78817733990145911</c:v>
                </c:pt>
                <c:pt idx="12">
                  <c:v>0.49261083743840484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5-463A-818E-29734740AAC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D5-463A-818E-29734740A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82656"/>
        <c:axId val="105277312"/>
      </c:scatterChart>
      <c:valAx>
        <c:axId val="1057826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277312"/>
        <c:crosses val="autoZero"/>
        <c:crossBetween val="midCat"/>
      </c:valAx>
      <c:valAx>
        <c:axId val="1052773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7826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'20'!$G$12:$G$24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96.474454735584104</c:v>
                </c:pt>
                <c:pt idx="5">
                  <c:v>95.428742157155654</c:v>
                </c:pt>
                <c:pt idx="6">
                  <c:v>92.799521959964139</c:v>
                </c:pt>
                <c:pt idx="7">
                  <c:v>82.34239617567971</c:v>
                </c:pt>
                <c:pt idx="8">
                  <c:v>48.610696145802208</c:v>
                </c:pt>
                <c:pt idx="9">
                  <c:v>25.754406931580515</c:v>
                </c:pt>
                <c:pt idx="10">
                  <c:v>3.1072602330445136</c:v>
                </c:pt>
                <c:pt idx="11">
                  <c:v>1.1353450851508775</c:v>
                </c:pt>
                <c:pt idx="12">
                  <c:v>0.56767254257543676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3-40D6-8333-AAC3D38A6F1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3-40D6-8333-AAC3D38A6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62112"/>
        <c:axId val="106038400"/>
      </c:scatterChart>
      <c:valAx>
        <c:axId val="1059621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038400"/>
        <c:crosses val="autoZero"/>
        <c:crossBetween val="midCat"/>
      </c:valAx>
      <c:valAx>
        <c:axId val="1060384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9621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'21'!$G$11:$G$24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99.962935507783541</c:v>
                </c:pt>
                <c:pt idx="7">
                  <c:v>99.629355077835442</c:v>
                </c:pt>
                <c:pt idx="8">
                  <c:v>98.776871756856934</c:v>
                </c:pt>
                <c:pt idx="9">
                  <c:v>97.294292068198672</c:v>
                </c:pt>
                <c:pt idx="10">
                  <c:v>92.698295033358065</c:v>
                </c:pt>
                <c:pt idx="11">
                  <c:v>51.297257227576011</c:v>
                </c:pt>
                <c:pt idx="12">
                  <c:v>24.79614529280952</c:v>
                </c:pt>
                <c:pt idx="13">
                  <c:v>13.936249073387721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A-41E2-ADE1-C347DD64F8D1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'21'!$Q$4:$Q$12</c:f>
              <c:numCache>
                <c:formatCode>0.0000</c:formatCode>
                <c:ptCount val="9"/>
                <c:pt idx="0">
                  <c:v>0.08</c:v>
                </c:pt>
                <c:pt idx="1">
                  <c:v>5.5E-2</c:v>
                </c:pt>
                <c:pt idx="2">
                  <c:v>3.3000000000000002E-2</c:v>
                </c:pt>
                <c:pt idx="3" formatCode="General">
                  <c:v>1.7500000000000002E-2</c:v>
                </c:pt>
                <c:pt idx="4" formatCode="General">
                  <c:v>9.4999999999999998E-3</c:v>
                </c:pt>
                <c:pt idx="5">
                  <c:v>5.0000000000000001E-3</c:v>
                </c:pt>
                <c:pt idx="6">
                  <c:v>2.7000000000000001E-3</c:v>
                </c:pt>
                <c:pt idx="7">
                  <c:v>1.5E-3</c:v>
                </c:pt>
                <c:pt idx="8">
                  <c:v>6.9999999999999999E-4</c:v>
                </c:pt>
              </c:numCache>
            </c:numRef>
          </c:xVal>
          <c:yVal>
            <c:numRef>
              <c:f>'21'!$S$4:$S$12</c:f>
              <c:numCache>
                <c:formatCode>0.0</c:formatCode>
                <c:ptCount val="9"/>
                <c:pt idx="0">
                  <c:v>13.3534074334398</c:v>
                </c:pt>
                <c:pt idx="1">
                  <c:v>11.699734686264579</c:v>
                </c:pt>
                <c:pt idx="2">
                  <c:v>9.2192255655018318</c:v>
                </c:pt>
                <c:pt idx="3">
                  <c:v>6.8627419007770447</c:v>
                </c:pt>
                <c:pt idx="4">
                  <c:v>5.2917527909605813</c:v>
                </c:pt>
                <c:pt idx="5">
                  <c:v>4.051498230579301</c:v>
                </c:pt>
                <c:pt idx="6">
                  <c:v>2.8939273075565972</c:v>
                </c:pt>
                <c:pt idx="7">
                  <c:v>2.8112436701978818</c:v>
                </c:pt>
                <c:pt idx="8">
                  <c:v>1.9844072966101776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A-41E2-ADE1-C347DD64F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74112"/>
        <c:axId val="106160896"/>
      </c:scatterChart>
      <c:valAx>
        <c:axId val="1060741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6160896"/>
        <c:crosses val="autoZero"/>
        <c:crossBetween val="midCat"/>
      </c:valAx>
      <c:valAx>
        <c:axId val="1061608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060741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'22'!$G$12:$G$24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70.442890442890445</c:v>
                </c:pt>
                <c:pt idx="3">
                  <c:v>64.47552447552448</c:v>
                </c:pt>
                <c:pt idx="4">
                  <c:v>58.041958041958047</c:v>
                </c:pt>
                <c:pt idx="5">
                  <c:v>53.193473193473196</c:v>
                </c:pt>
                <c:pt idx="6">
                  <c:v>44.149184149184151</c:v>
                </c:pt>
                <c:pt idx="7">
                  <c:v>35.757575757575758</c:v>
                </c:pt>
                <c:pt idx="8">
                  <c:v>30.48951048951049</c:v>
                </c:pt>
                <c:pt idx="9">
                  <c:v>26.200466200466202</c:v>
                </c:pt>
                <c:pt idx="10">
                  <c:v>7.7855477855477879</c:v>
                </c:pt>
                <c:pt idx="11">
                  <c:v>3.3100233100233121</c:v>
                </c:pt>
                <c:pt idx="12">
                  <c:v>1.8648018648018667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9-45E0-B9A2-7A3B42C5CB1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9-45E0-B9A2-7A3B42C5C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555264"/>
        <c:axId val="106328448"/>
      </c:scatterChart>
      <c:valAx>
        <c:axId val="1065552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328448"/>
        <c:crosses val="autoZero"/>
        <c:crossBetween val="midCat"/>
      </c:valAx>
      <c:valAx>
        <c:axId val="1063284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5552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'23'!$G$12:$G$24</c:f>
              <c:numCache>
                <c:formatCode>0.0</c:formatCode>
                <c:ptCount val="13"/>
                <c:pt idx="0">
                  <c:v>100</c:v>
                </c:pt>
                <c:pt idx="1">
                  <c:v>76.877624008707812</c:v>
                </c:pt>
                <c:pt idx="2">
                  <c:v>66.055045871559628</c:v>
                </c:pt>
                <c:pt idx="3">
                  <c:v>48.468356398693821</c:v>
                </c:pt>
                <c:pt idx="4">
                  <c:v>43.958948841548739</c:v>
                </c:pt>
                <c:pt idx="5">
                  <c:v>39.418441921940591</c:v>
                </c:pt>
                <c:pt idx="6">
                  <c:v>32.498833773907627</c:v>
                </c:pt>
                <c:pt idx="7">
                  <c:v>26.232312237599121</c:v>
                </c:pt>
                <c:pt idx="8">
                  <c:v>20.945420618877304</c:v>
                </c:pt>
                <c:pt idx="9">
                  <c:v>18.317524490747928</c:v>
                </c:pt>
                <c:pt idx="10">
                  <c:v>8.7078214896594499</c:v>
                </c:pt>
                <c:pt idx="11">
                  <c:v>5.3646400248794777</c:v>
                </c:pt>
                <c:pt idx="12">
                  <c:v>3.9496190328098151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73-40AD-9E7B-1F224490884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73-40AD-9E7B-1F224490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39392"/>
        <c:axId val="105741696"/>
      </c:scatterChart>
      <c:valAx>
        <c:axId val="1057393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741696"/>
        <c:crosses val="autoZero"/>
        <c:crossBetween val="midCat"/>
      </c:valAx>
      <c:valAx>
        <c:axId val="1057416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7393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'24'!$B$12:$B$24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'24'!$G$12:$G$24</c:f>
              <c:numCache>
                <c:formatCode>0.0</c:formatCode>
                <c:ptCount val="13"/>
                <c:pt idx="0">
                  <c:v>100</c:v>
                </c:pt>
                <c:pt idx="1">
                  <c:v>89.263097294185371</c:v>
                </c:pt>
                <c:pt idx="2">
                  <c:v>61.298215313759343</c:v>
                </c:pt>
                <c:pt idx="3">
                  <c:v>49.03569372481288</c:v>
                </c:pt>
                <c:pt idx="4">
                  <c:v>45.048934945307984</c:v>
                </c:pt>
                <c:pt idx="5">
                  <c:v>38.759355210132391</c:v>
                </c:pt>
                <c:pt idx="6">
                  <c:v>29.67760506620608</c:v>
                </c:pt>
                <c:pt idx="7">
                  <c:v>18.206678180771423</c:v>
                </c:pt>
                <c:pt idx="8">
                  <c:v>9.9309153713298564</c:v>
                </c:pt>
                <c:pt idx="9">
                  <c:v>6.5054691997696956</c:v>
                </c:pt>
                <c:pt idx="10">
                  <c:v>3.3390903857224874</c:v>
                </c:pt>
                <c:pt idx="11">
                  <c:v>2.0149683362118367</c:v>
                </c:pt>
                <c:pt idx="12">
                  <c:v>1.3529073114565113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92-41F8-88AE-70D22876608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92-41F8-88AE-70D228766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62176"/>
        <c:axId val="105769984"/>
      </c:scatterChart>
      <c:valAx>
        <c:axId val="1057621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769984"/>
        <c:crosses val="autoZero"/>
        <c:crossBetween val="midCat"/>
      </c:valAx>
      <c:valAx>
        <c:axId val="1057699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57621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'25'!$B$12:$B$24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'25'!$G$12:$G$24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87.372796330801208</c:v>
                </c:pt>
                <c:pt idx="3">
                  <c:v>68.023505804787163</c:v>
                </c:pt>
                <c:pt idx="4">
                  <c:v>64.354307008743021</c:v>
                </c:pt>
                <c:pt idx="5">
                  <c:v>58.979504084850234</c:v>
                </c:pt>
                <c:pt idx="6">
                  <c:v>53.432707467392873</c:v>
                </c:pt>
                <c:pt idx="7">
                  <c:v>47.28393292245952</c:v>
                </c:pt>
                <c:pt idx="8">
                  <c:v>34.269743442740442</c:v>
                </c:pt>
                <c:pt idx="9">
                  <c:v>19.707610720940242</c:v>
                </c:pt>
                <c:pt idx="10">
                  <c:v>2.4222445177010243</c:v>
                </c:pt>
                <c:pt idx="11">
                  <c:v>0.84563566002580548</c:v>
                </c:pt>
                <c:pt idx="12">
                  <c:v>0.50164827289666691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BB-4462-9474-B97E946099B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BB-4462-9474-B97E9460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63232"/>
        <c:axId val="106465152"/>
      </c:scatterChart>
      <c:valAx>
        <c:axId val="1064632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465152"/>
        <c:crosses val="autoZero"/>
        <c:crossBetween val="midCat"/>
      </c:valAx>
      <c:valAx>
        <c:axId val="1064651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4632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'26'!$B$12:$B$24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'26'!$G$12:$G$24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75.576721426074798</c:v>
                </c:pt>
                <c:pt idx="3">
                  <c:v>59.358615868577417</c:v>
                </c:pt>
                <c:pt idx="4">
                  <c:v>56.37888850052429</c:v>
                </c:pt>
                <c:pt idx="5">
                  <c:v>51.275777700104854</c:v>
                </c:pt>
                <c:pt idx="6">
                  <c:v>43.909472212513101</c:v>
                </c:pt>
                <c:pt idx="7">
                  <c:v>35.713037399510654</c:v>
                </c:pt>
                <c:pt idx="8">
                  <c:v>19.809507165326799</c:v>
                </c:pt>
                <c:pt idx="9">
                  <c:v>8.2313876267039383</c:v>
                </c:pt>
                <c:pt idx="10">
                  <c:v>1.9398811604334032</c:v>
                </c:pt>
                <c:pt idx="11">
                  <c:v>0.86508213911218657</c:v>
                </c:pt>
                <c:pt idx="12">
                  <c:v>0.51555400209715685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3-489F-8126-66ED2823AA4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B3-489F-8126-66ED2823A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39680"/>
        <c:axId val="107246336"/>
      </c:scatterChart>
      <c:valAx>
        <c:axId val="1072396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246336"/>
        <c:crosses val="autoZero"/>
        <c:crossBetween val="midCat"/>
      </c:valAx>
      <c:valAx>
        <c:axId val="1072463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2396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'27'!$B$12:$B$24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'27'!$G$12:$G$24</c:f>
              <c:numCache>
                <c:formatCode>0.0</c:formatCode>
                <c:ptCount val="13"/>
                <c:pt idx="0">
                  <c:v>100</c:v>
                </c:pt>
                <c:pt idx="1">
                  <c:v>89.190067602704104</c:v>
                </c:pt>
                <c:pt idx="2">
                  <c:v>60.770930837233493</c:v>
                </c:pt>
                <c:pt idx="3">
                  <c:v>47.737909516380661</c:v>
                </c:pt>
                <c:pt idx="4">
                  <c:v>44.43577743109725</c:v>
                </c:pt>
                <c:pt idx="5">
                  <c:v>38.527041081643276</c:v>
                </c:pt>
                <c:pt idx="6">
                  <c:v>31.0842433697348</c:v>
                </c:pt>
                <c:pt idx="7">
                  <c:v>24.128965158606356</c:v>
                </c:pt>
                <c:pt idx="8">
                  <c:v>12.838013520540834</c:v>
                </c:pt>
                <c:pt idx="9">
                  <c:v>5.6617264690587739</c:v>
                </c:pt>
                <c:pt idx="10">
                  <c:v>1.9370774830993356</c:v>
                </c:pt>
                <c:pt idx="11">
                  <c:v>1.0465418616744788</c:v>
                </c:pt>
                <c:pt idx="12">
                  <c:v>0.77353094123766142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67-4B11-826D-C2BC03AC32B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67-4B11-826D-C2BC03AC3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69504"/>
        <c:axId val="107281792"/>
      </c:scatterChart>
      <c:valAx>
        <c:axId val="10726950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281792"/>
        <c:crosses val="autoZero"/>
        <c:crossBetween val="midCat"/>
      </c:valAx>
      <c:valAx>
        <c:axId val="1072817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26950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'28'!$B$12:$B$24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'28'!$G$12:$G$24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93.079281646955764</c:v>
                </c:pt>
                <c:pt idx="4">
                  <c:v>90.713972842750763</c:v>
                </c:pt>
                <c:pt idx="5">
                  <c:v>87.998247919404292</c:v>
                </c:pt>
                <c:pt idx="6">
                  <c:v>83.618046430135792</c:v>
                </c:pt>
                <c:pt idx="7">
                  <c:v>78.624616732369688</c:v>
                </c:pt>
                <c:pt idx="8">
                  <c:v>68.28734121769601</c:v>
                </c:pt>
                <c:pt idx="9">
                  <c:v>50.240911081909758</c:v>
                </c:pt>
                <c:pt idx="10">
                  <c:v>5.825667980727097</c:v>
                </c:pt>
                <c:pt idx="11">
                  <c:v>2.0148926850634963</c:v>
                </c:pt>
                <c:pt idx="12">
                  <c:v>1.4016644765659052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2-4FBC-86CC-44CF89E5106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C2-4FBC-86CC-44CF89E5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14464"/>
        <c:axId val="106416768"/>
      </c:scatterChart>
      <c:valAx>
        <c:axId val="1064144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416768"/>
        <c:crosses val="autoZero"/>
        <c:crossBetween val="midCat"/>
      </c:valAx>
      <c:valAx>
        <c:axId val="1064167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64144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'29'!$B$12:$B$24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'29'!$G$12:$G$24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69.25051334702259</c:v>
                </c:pt>
                <c:pt idx="3">
                  <c:v>59.958932238193022</c:v>
                </c:pt>
                <c:pt idx="4">
                  <c:v>57.21252566735113</c:v>
                </c:pt>
                <c:pt idx="5">
                  <c:v>52.695071868583163</c:v>
                </c:pt>
                <c:pt idx="6">
                  <c:v>46.04722792607803</c:v>
                </c:pt>
                <c:pt idx="7">
                  <c:v>37.525667351129364</c:v>
                </c:pt>
                <c:pt idx="8">
                  <c:v>28.978439425051338</c:v>
                </c:pt>
                <c:pt idx="9">
                  <c:v>22.920944558521562</c:v>
                </c:pt>
                <c:pt idx="10">
                  <c:v>10.266940451745382</c:v>
                </c:pt>
                <c:pt idx="11">
                  <c:v>5.2104722792607836</c:v>
                </c:pt>
                <c:pt idx="12">
                  <c:v>3.1314168377823441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ED-433F-B7A6-1BECDEB9010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'29'!$Q$4:$Q$12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'29'!$S$4:$S$12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ED-433F-B7A6-1BECDEB90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89088"/>
        <c:axId val="107702144"/>
      </c:scatterChart>
      <c:valAx>
        <c:axId val="10768908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702144"/>
        <c:crosses val="autoZero"/>
        <c:crossBetween val="midCat"/>
      </c:valAx>
      <c:valAx>
        <c:axId val="1077021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68908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'30'!$G$12:$G$24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93.78367177786987</c:v>
                </c:pt>
                <c:pt idx="3">
                  <c:v>84.624948197264814</c:v>
                </c:pt>
                <c:pt idx="4">
                  <c:v>83.008702859510976</c:v>
                </c:pt>
                <c:pt idx="5">
                  <c:v>78.615830915872351</c:v>
                </c:pt>
                <c:pt idx="6">
                  <c:v>69.415665147119768</c:v>
                </c:pt>
                <c:pt idx="7">
                  <c:v>56.112722751761297</c:v>
                </c:pt>
                <c:pt idx="8">
                  <c:v>42.353916286779949</c:v>
                </c:pt>
                <c:pt idx="9">
                  <c:v>32.573559883961877</c:v>
                </c:pt>
                <c:pt idx="10">
                  <c:v>14.09034397016163</c:v>
                </c:pt>
                <c:pt idx="11">
                  <c:v>6.713634479900545</c:v>
                </c:pt>
                <c:pt idx="12">
                  <c:v>3.8955656858682208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A-4088-8C72-1F657CC6ABF6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FA-4088-8C72-1F657CC6A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6752"/>
        <c:axId val="108020864"/>
      </c:scatterChart>
      <c:valAx>
        <c:axId val="10786675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020864"/>
        <c:crosses val="autoZero"/>
        <c:crossBetween val="midCat"/>
      </c:valAx>
      <c:valAx>
        <c:axId val="1080208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786675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'31'!$B$12:$B$24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'31'!$G$12:$G$24</c:f>
              <c:numCache>
                <c:formatCode>0.0</c:formatCode>
                <c:ptCount val="13"/>
                <c:pt idx="0">
                  <c:v>100</c:v>
                </c:pt>
                <c:pt idx="1">
                  <c:v>87.468030690537077</c:v>
                </c:pt>
                <c:pt idx="2">
                  <c:v>57.11849957374254</c:v>
                </c:pt>
                <c:pt idx="3">
                  <c:v>51.463483944302354</c:v>
                </c:pt>
                <c:pt idx="4">
                  <c:v>48.905939187269105</c:v>
                </c:pt>
                <c:pt idx="5">
                  <c:v>46.348394430235857</c:v>
                </c:pt>
                <c:pt idx="6">
                  <c:v>41.943734015345264</c:v>
                </c:pt>
                <c:pt idx="7">
                  <c:v>32.566069906223355</c:v>
                </c:pt>
                <c:pt idx="8">
                  <c:v>23.131571469167373</c:v>
                </c:pt>
                <c:pt idx="9">
                  <c:v>17.561807331628298</c:v>
                </c:pt>
                <c:pt idx="10">
                  <c:v>7.9568059107700986</c:v>
                </c:pt>
                <c:pt idx="11">
                  <c:v>3.4953111679454327</c:v>
                </c:pt>
                <c:pt idx="12">
                  <c:v>1.9607843137254837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F-4923-AD93-3ACBA57A6A8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FF-4923-AD93-3ACBA57A6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35456"/>
        <c:axId val="108208512"/>
      </c:scatterChart>
      <c:valAx>
        <c:axId val="1080354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208512"/>
        <c:crosses val="autoZero"/>
        <c:crossBetween val="midCat"/>
      </c:valAx>
      <c:valAx>
        <c:axId val="1082085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0354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'32'!$G$12:$G$24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91.235059760956176</c:v>
                </c:pt>
                <c:pt idx="3">
                  <c:v>88.446215139442231</c:v>
                </c:pt>
                <c:pt idx="4">
                  <c:v>87.802635611400547</c:v>
                </c:pt>
                <c:pt idx="5">
                  <c:v>86.331596690162428</c:v>
                </c:pt>
                <c:pt idx="6">
                  <c:v>82.837879252221882</c:v>
                </c:pt>
                <c:pt idx="7">
                  <c:v>70.60986821942997</c:v>
                </c:pt>
                <c:pt idx="8">
                  <c:v>53.018694452957398</c:v>
                </c:pt>
                <c:pt idx="9">
                  <c:v>41.526202880784552</c:v>
                </c:pt>
                <c:pt idx="10">
                  <c:v>18.970272755133312</c:v>
                </c:pt>
                <c:pt idx="11">
                  <c:v>7.9987741342323009</c:v>
                </c:pt>
                <c:pt idx="12">
                  <c:v>4.4131167637143722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DF-40A6-8132-EAE357BD068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DF-40A6-8132-EAE357BD0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03488"/>
        <c:axId val="108305792"/>
      </c:scatterChart>
      <c:valAx>
        <c:axId val="10830348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305792"/>
        <c:crosses val="autoZero"/>
        <c:crossBetween val="midCat"/>
      </c:valAx>
      <c:valAx>
        <c:axId val="1083057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30348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'33'!$G$12:$G$24</c:f>
              <c:numCache>
                <c:formatCode>0.0</c:formatCode>
                <c:ptCount val="13"/>
                <c:pt idx="0">
                  <c:v>100</c:v>
                </c:pt>
                <c:pt idx="1">
                  <c:v>86.345108695652172</c:v>
                </c:pt>
                <c:pt idx="2">
                  <c:v>84.210015527950304</c:v>
                </c:pt>
                <c:pt idx="3">
                  <c:v>73.088121118012424</c:v>
                </c:pt>
                <c:pt idx="4">
                  <c:v>70.89479813664596</c:v>
                </c:pt>
                <c:pt idx="5">
                  <c:v>65.760869565217391</c:v>
                </c:pt>
                <c:pt idx="6">
                  <c:v>54.114906832298139</c:v>
                </c:pt>
                <c:pt idx="7">
                  <c:v>46.477096273291927</c:v>
                </c:pt>
                <c:pt idx="8">
                  <c:v>35.694875776397517</c:v>
                </c:pt>
                <c:pt idx="9">
                  <c:v>25.456133540372676</c:v>
                </c:pt>
                <c:pt idx="10">
                  <c:v>11.092779503105596</c:v>
                </c:pt>
                <c:pt idx="11">
                  <c:v>5.8618012422360319</c:v>
                </c:pt>
                <c:pt idx="12">
                  <c:v>3.6296583850931752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B-4F61-BCF5-EA022767AC9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CB-4F61-BCF5-EA022767A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37728"/>
        <c:axId val="108550784"/>
      </c:scatterChart>
      <c:valAx>
        <c:axId val="1085377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550784"/>
        <c:crosses val="autoZero"/>
        <c:crossBetween val="midCat"/>
      </c:valAx>
      <c:valAx>
        <c:axId val="1085507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5377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'34'!$G$11:$G$24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99.452100282251365</c:v>
                </c:pt>
                <c:pt idx="5">
                  <c:v>99.452100282251365</c:v>
                </c:pt>
                <c:pt idx="6">
                  <c:v>99.385688195251532</c:v>
                </c:pt>
                <c:pt idx="7">
                  <c:v>99.302673086501741</c:v>
                </c:pt>
                <c:pt idx="8">
                  <c:v>98.970612651502577</c:v>
                </c:pt>
                <c:pt idx="9">
                  <c:v>93.524821517516187</c:v>
                </c:pt>
                <c:pt idx="10">
                  <c:v>91.366428690021579</c:v>
                </c:pt>
                <c:pt idx="11">
                  <c:v>54.590735513863514</c:v>
                </c:pt>
                <c:pt idx="12">
                  <c:v>26.26598040843432</c:v>
                </c:pt>
                <c:pt idx="13">
                  <c:v>15.80607670596047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8-4C62-A560-12ECB61EECDC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'34'!$Q$4:$Q$12</c:f>
              <c:numCache>
                <c:formatCode>0.0000</c:formatCode>
                <c:ptCount val="9"/>
                <c:pt idx="0">
                  <c:v>0.08</c:v>
                </c:pt>
                <c:pt idx="1">
                  <c:v>5.5E-2</c:v>
                </c:pt>
                <c:pt idx="2">
                  <c:v>3.5000000000000003E-2</c:v>
                </c:pt>
                <c:pt idx="3">
                  <c:v>0.02</c:v>
                </c:pt>
                <c:pt idx="4">
                  <c:v>1.0999999999999999E-2</c:v>
                </c:pt>
                <c:pt idx="5">
                  <c:v>5.4999999999999997E-3</c:v>
                </c:pt>
                <c:pt idx="6">
                  <c:v>3.3E-3</c:v>
                </c:pt>
              </c:numCache>
            </c:numRef>
          </c:xVal>
          <c:yVal>
            <c:numRef>
              <c:f>'34'!$S$4:$S$12</c:f>
              <c:numCache>
                <c:formatCode>0.0</c:formatCode>
                <c:ptCount val="9"/>
                <c:pt idx="0">
                  <c:v>14.334828731157803</c:v>
                </c:pt>
                <c:pt idx="1">
                  <c:v>13.003420489873935</c:v>
                </c:pt>
                <c:pt idx="2">
                  <c:v>11.22820950149524</c:v>
                </c:pt>
                <c:pt idx="3">
                  <c:v>9.0091957660217261</c:v>
                </c:pt>
                <c:pt idx="4">
                  <c:v>6.9233228546768082</c:v>
                </c:pt>
                <c:pt idx="5">
                  <c:v>6.1244779099064948</c:v>
                </c:pt>
                <c:pt idx="6">
                  <c:v>4.8818302180413591</c:v>
                </c:pt>
                <c:pt idx="7">
                  <c:v>4.3492669215276525</c:v>
                </c:pt>
                <c:pt idx="8">
                  <c:v>1.8639715377975592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8-4C62-A560-12ECB61EE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9424"/>
        <c:axId val="107480960"/>
      </c:scatterChart>
      <c:valAx>
        <c:axId val="1074794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07480960"/>
        <c:crosses val="autoZero"/>
        <c:crossBetween val="midCat"/>
      </c:valAx>
      <c:valAx>
        <c:axId val="10748096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074794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'35'!$B$12:$B$24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'35'!$G$12:$G$24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94.240156199153915</c:v>
                </c:pt>
                <c:pt idx="3">
                  <c:v>93.621867881548965</c:v>
                </c:pt>
                <c:pt idx="4">
                  <c:v>93.621867881548965</c:v>
                </c:pt>
                <c:pt idx="5">
                  <c:v>92.873413602342978</c:v>
                </c:pt>
                <c:pt idx="6">
                  <c:v>90.855841197526843</c:v>
                </c:pt>
                <c:pt idx="7">
                  <c:v>81.191018548649524</c:v>
                </c:pt>
                <c:pt idx="8">
                  <c:v>59.2255125284738</c:v>
                </c:pt>
                <c:pt idx="9">
                  <c:v>47.380410022779039</c:v>
                </c:pt>
                <c:pt idx="10">
                  <c:v>6.0527172144484211</c:v>
                </c:pt>
                <c:pt idx="11">
                  <c:v>2.8311096648226486</c:v>
                </c:pt>
                <c:pt idx="12">
                  <c:v>1.6596160104132767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6-4B54-A941-798AF5E71CD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6-4B54-A941-798AF5E71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81152"/>
        <c:axId val="108504192"/>
      </c:scatterChart>
      <c:valAx>
        <c:axId val="10848115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504192"/>
        <c:crosses val="autoZero"/>
        <c:crossBetween val="midCat"/>
      </c:valAx>
      <c:valAx>
        <c:axId val="1085041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48115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'36'!$B$12:$B$24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'36'!$G$12:$G$24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98.725847101652192</c:v>
                </c:pt>
                <c:pt idx="4">
                  <c:v>98.585830299635944</c:v>
                </c:pt>
                <c:pt idx="5">
                  <c:v>93.671240548865853</c:v>
                </c:pt>
                <c:pt idx="6">
                  <c:v>88.000560067208056</c:v>
                </c:pt>
                <c:pt idx="7">
                  <c:v>68.972276673200781</c:v>
                </c:pt>
                <c:pt idx="8">
                  <c:v>60.095211425371041</c:v>
                </c:pt>
                <c:pt idx="9">
                  <c:v>54.480537664519737</c:v>
                </c:pt>
                <c:pt idx="10">
                  <c:v>31.993839260711283</c:v>
                </c:pt>
                <c:pt idx="11">
                  <c:v>12.881545785494261</c:v>
                </c:pt>
                <c:pt idx="12">
                  <c:v>6.4407728927471313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5B-4BA4-9B9C-BA847D6C581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5B-4BA4-9B9C-BA847D6C5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39840"/>
        <c:axId val="109142400"/>
      </c:scatterChart>
      <c:valAx>
        <c:axId val="1091398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142400"/>
        <c:crosses val="autoZero"/>
        <c:crossBetween val="midCat"/>
      </c:valAx>
      <c:valAx>
        <c:axId val="1091424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1398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'37'!$B$12:$B$24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'37'!$G$12:$G$24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98.51203501094092</c:v>
                </c:pt>
                <c:pt idx="5">
                  <c:v>97.59299781181619</c:v>
                </c:pt>
                <c:pt idx="6">
                  <c:v>95.820568927789935</c:v>
                </c:pt>
                <c:pt idx="7">
                  <c:v>87.264770240700216</c:v>
                </c:pt>
                <c:pt idx="8">
                  <c:v>86.849015317286643</c:v>
                </c:pt>
                <c:pt idx="9">
                  <c:v>84.070021881838059</c:v>
                </c:pt>
                <c:pt idx="10">
                  <c:v>40.175054704595169</c:v>
                </c:pt>
                <c:pt idx="11">
                  <c:v>17.833698030634558</c:v>
                </c:pt>
                <c:pt idx="12">
                  <c:v>8.4682713347921066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1E-449C-A034-472D5025B7D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1E-449C-A034-472D5025B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73376"/>
        <c:axId val="109391232"/>
      </c:scatterChart>
      <c:valAx>
        <c:axId val="1091733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391232"/>
        <c:crosses val="autoZero"/>
        <c:crossBetween val="midCat"/>
      </c:valAx>
      <c:valAx>
        <c:axId val="10939123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1733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'38'!$G$11:$G$24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99.43467336683419</c:v>
                </c:pt>
                <c:pt idx="9">
                  <c:v>98.178391959799015</c:v>
                </c:pt>
                <c:pt idx="10">
                  <c:v>91.394472361809051</c:v>
                </c:pt>
                <c:pt idx="11">
                  <c:v>58.605527638190964</c:v>
                </c:pt>
                <c:pt idx="12">
                  <c:v>27.198492462311563</c:v>
                </c:pt>
                <c:pt idx="13">
                  <c:v>12.374371859296474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2D-49BE-ACDB-A6F30F10B28C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'38'!$Q$4:$Q$12</c:f>
              <c:numCache>
                <c:formatCode>0.0000</c:formatCode>
                <c:ptCount val="9"/>
                <c:pt idx="0">
                  <c:v>7.8016889210101817E-2</c:v>
                </c:pt>
                <c:pt idx="1">
                  <c:v>5.5893743697247249E-2</c:v>
                </c:pt>
                <c:pt idx="2">
                  <c:v>4.0282131334612607E-2</c:v>
                </c:pt>
                <c:pt idx="3">
                  <c:v>2.6103204311669442E-2</c:v>
                </c:pt>
                <c:pt idx="4">
                  <c:v>1.5336396799570584E-2</c:v>
                </c:pt>
                <c:pt idx="5">
                  <c:v>8.9552828423489165E-3</c:v>
                </c:pt>
                <c:pt idx="6">
                  <c:v>5.4839683665139629E-3</c:v>
                </c:pt>
                <c:pt idx="7">
                  <c:v>3.2014155588123358E-3</c:v>
                </c:pt>
                <c:pt idx="8">
                  <c:v>1.6094466592709855E-3</c:v>
                </c:pt>
              </c:numCache>
            </c:numRef>
          </c:xVal>
          <c:yVal>
            <c:numRef>
              <c:f>'38'!$S$4:$S$12</c:f>
              <c:numCache>
                <c:formatCode>0.0</c:formatCode>
                <c:ptCount val="9"/>
                <c:pt idx="0">
                  <c:v>11.895024270478968</c:v>
                </c:pt>
                <c:pt idx="1">
                  <c:v>10.916009927229766</c:v>
                </c:pt>
                <c:pt idx="2">
                  <c:v>9.4474884123557441</c:v>
                </c:pt>
                <c:pt idx="3">
                  <c:v>7.4894597258571229</c:v>
                </c:pt>
                <c:pt idx="4">
                  <c:v>6.0209382109831022</c:v>
                </c:pt>
                <c:pt idx="5">
                  <c:v>5.0419238677338996</c:v>
                </c:pt>
                <c:pt idx="6">
                  <c:v>5.0419238677338996</c:v>
                </c:pt>
                <c:pt idx="7">
                  <c:v>4.0629095244844802</c:v>
                </c:pt>
                <c:pt idx="8">
                  <c:v>3.573402352859878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2D-49BE-ACDB-A6F30F10B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912960"/>
        <c:axId val="101915264"/>
      </c:scatterChart>
      <c:valAx>
        <c:axId val="1019129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1915264"/>
        <c:crosses val="autoZero"/>
        <c:crossBetween val="midCat"/>
      </c:valAx>
      <c:valAx>
        <c:axId val="1019152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19129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'39'!$B$12:$B$24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'39'!$G$12:$G$24</c:f>
              <c:numCache>
                <c:formatCode>0.0</c:formatCode>
                <c:ptCount val="13"/>
                <c:pt idx="0">
                  <c:v>100</c:v>
                </c:pt>
                <c:pt idx="1">
                  <c:v>88.662962525121173</c:v>
                </c:pt>
                <c:pt idx="2">
                  <c:v>72.065255940418496</c:v>
                </c:pt>
                <c:pt idx="3">
                  <c:v>63.754580919730472</c:v>
                </c:pt>
                <c:pt idx="4">
                  <c:v>61.118335500650204</c:v>
                </c:pt>
                <c:pt idx="5">
                  <c:v>57.642747369665457</c:v>
                </c:pt>
                <c:pt idx="6">
                  <c:v>53.493320723489788</c:v>
                </c:pt>
                <c:pt idx="7">
                  <c:v>48.031682231942327</c:v>
                </c:pt>
                <c:pt idx="8">
                  <c:v>44.969854592741477</c:v>
                </c:pt>
                <c:pt idx="9">
                  <c:v>41.364227450053214</c:v>
                </c:pt>
                <c:pt idx="10">
                  <c:v>24.270008275209854</c:v>
                </c:pt>
                <c:pt idx="11">
                  <c:v>9.9538952594869556</c:v>
                </c:pt>
                <c:pt idx="12">
                  <c:v>4.7286913346731483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D2-4938-BD88-09D69C28116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'39'!$Q$4:$Q$12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'39'!$S$4:$S$12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D2-4938-BD88-09D69C281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8208"/>
        <c:axId val="109533056"/>
      </c:scatterChart>
      <c:valAx>
        <c:axId val="10951820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533056"/>
        <c:crosses val="autoZero"/>
        <c:crossBetween val="midCat"/>
      </c:valAx>
      <c:valAx>
        <c:axId val="1095330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51820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'40'!$G$12:$G$24</c:f>
              <c:numCache>
                <c:formatCode>0.0</c:formatCode>
                <c:ptCount val="13"/>
                <c:pt idx="0">
                  <c:v>100</c:v>
                </c:pt>
                <c:pt idx="1">
                  <c:v>93.159770342506434</c:v>
                </c:pt>
                <c:pt idx="2">
                  <c:v>69.629776281924364</c:v>
                </c:pt>
                <c:pt idx="3">
                  <c:v>54.553553751732323</c:v>
                </c:pt>
                <c:pt idx="4">
                  <c:v>48.376559097208464</c:v>
                </c:pt>
                <c:pt idx="5">
                  <c:v>43.27855870124727</c:v>
                </c:pt>
                <c:pt idx="6">
                  <c:v>34.290239556523453</c:v>
                </c:pt>
                <c:pt idx="7">
                  <c:v>26.034448624034837</c:v>
                </c:pt>
                <c:pt idx="8">
                  <c:v>21.193823005345468</c:v>
                </c:pt>
                <c:pt idx="9">
                  <c:v>16.650168283508208</c:v>
                </c:pt>
                <c:pt idx="10">
                  <c:v>7.0382102553949633</c:v>
                </c:pt>
                <c:pt idx="11">
                  <c:v>3.0983963571569908</c:v>
                </c:pt>
                <c:pt idx="12">
                  <c:v>1.7917244110077135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DA-4D7C-B8CF-F76115A080C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A-4D7C-B8CF-F76115A0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37632"/>
        <c:axId val="110052480"/>
      </c:scatterChart>
      <c:valAx>
        <c:axId val="1100376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052480"/>
        <c:crosses val="autoZero"/>
        <c:crossBetween val="midCat"/>
      </c:valAx>
      <c:valAx>
        <c:axId val="1100524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0376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'41'!$B$12:$B$24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'41'!$G$12:$G$24</c:f>
              <c:numCache>
                <c:formatCode>0.0</c:formatCode>
                <c:ptCount val="13"/>
                <c:pt idx="0">
                  <c:v>100</c:v>
                </c:pt>
                <c:pt idx="1">
                  <c:v>85.149345840533201</c:v>
                </c:pt>
                <c:pt idx="2">
                  <c:v>64.670451740311023</c:v>
                </c:pt>
                <c:pt idx="3">
                  <c:v>53.206615650456669</c:v>
                </c:pt>
                <c:pt idx="4">
                  <c:v>49.563070846704512</c:v>
                </c:pt>
                <c:pt idx="5">
                  <c:v>42.52283386818069</c:v>
                </c:pt>
                <c:pt idx="6">
                  <c:v>34.065662799308804</c:v>
                </c:pt>
                <c:pt idx="7">
                  <c:v>25.657862256233017</c:v>
                </c:pt>
                <c:pt idx="8">
                  <c:v>20.093803999012575</c:v>
                </c:pt>
                <c:pt idx="9">
                  <c:v>14.307578375709685</c:v>
                </c:pt>
                <c:pt idx="10">
                  <c:v>3.7817822759812216</c:v>
                </c:pt>
                <c:pt idx="11">
                  <c:v>1.9007652431498219</c:v>
                </c:pt>
                <c:pt idx="12">
                  <c:v>1.0565292520365164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0-41FE-8E97-EE7DDB6590E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0-41FE-8E97-EE7DDB659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62976"/>
        <c:axId val="109011328"/>
      </c:scatterChart>
      <c:valAx>
        <c:axId val="1100629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011328"/>
        <c:crosses val="autoZero"/>
        <c:crossBetween val="midCat"/>
      </c:valAx>
      <c:valAx>
        <c:axId val="1090113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0629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'42'!$G$12:$G$24</c:f>
              <c:numCache>
                <c:formatCode>0.0</c:formatCode>
                <c:ptCount val="13"/>
                <c:pt idx="0">
                  <c:v>100</c:v>
                </c:pt>
                <c:pt idx="1">
                  <c:v>93.013225991949398</c:v>
                </c:pt>
                <c:pt idx="2">
                  <c:v>76.032202415181146</c:v>
                </c:pt>
                <c:pt idx="3">
                  <c:v>63.162737205290405</c:v>
                </c:pt>
                <c:pt idx="4">
                  <c:v>58.763657274295582</c:v>
                </c:pt>
                <c:pt idx="5">
                  <c:v>51.092581943645783</c:v>
                </c:pt>
                <c:pt idx="6">
                  <c:v>40.281771132834976</c:v>
                </c:pt>
                <c:pt idx="7">
                  <c:v>29.068430132259934</c:v>
                </c:pt>
                <c:pt idx="8">
                  <c:v>18.320874065554932</c:v>
                </c:pt>
                <c:pt idx="9">
                  <c:v>12.892466935020142</c:v>
                </c:pt>
                <c:pt idx="10">
                  <c:v>5.1063829787234205</c:v>
                </c:pt>
                <c:pt idx="11">
                  <c:v>2.9499712478436049</c:v>
                </c:pt>
                <c:pt idx="12">
                  <c:v>1.7883841288096776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A-4DB0-AF63-BAE236536D1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CA-4DB0-AF63-BAE23653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53472"/>
        <c:axId val="109755776"/>
      </c:scatterChart>
      <c:valAx>
        <c:axId val="1097534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755776"/>
        <c:crosses val="autoZero"/>
        <c:crossBetween val="midCat"/>
      </c:valAx>
      <c:valAx>
        <c:axId val="1097557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7534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'43'!$G$12:$G$24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74.706697952218434</c:v>
                </c:pt>
                <c:pt idx="3">
                  <c:v>60.654863481228674</c:v>
                </c:pt>
                <c:pt idx="4">
                  <c:v>57.300554607508538</c:v>
                </c:pt>
                <c:pt idx="5">
                  <c:v>50.287969283276453</c:v>
                </c:pt>
                <c:pt idx="6">
                  <c:v>42.272824232081916</c:v>
                </c:pt>
                <c:pt idx="7">
                  <c:v>32.396544368600686</c:v>
                </c:pt>
                <c:pt idx="8">
                  <c:v>16.648890784982939</c:v>
                </c:pt>
                <c:pt idx="9">
                  <c:v>8.9323805460750894</c:v>
                </c:pt>
                <c:pt idx="10">
                  <c:v>3.5142918088737245</c:v>
                </c:pt>
                <c:pt idx="11">
                  <c:v>2.3464163822525643</c:v>
                </c:pt>
                <c:pt idx="12">
                  <c:v>1.3331911262798681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D-4F6E-AB01-7D54BC8E2E6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D-4F6E-AB01-7D54BC8E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979520"/>
        <c:axId val="109984384"/>
      </c:scatterChart>
      <c:valAx>
        <c:axId val="1099795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984384"/>
        <c:crosses val="autoZero"/>
        <c:crossBetween val="midCat"/>
      </c:valAx>
      <c:valAx>
        <c:axId val="1099843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9795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'44'!$G$11:$G$24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99.842100069081212</c:v>
                </c:pt>
                <c:pt idx="8">
                  <c:v>98.973650449027915</c:v>
                </c:pt>
                <c:pt idx="9">
                  <c:v>89.529260830948374</c:v>
                </c:pt>
                <c:pt idx="10">
                  <c:v>85.108062765222527</c:v>
                </c:pt>
                <c:pt idx="11">
                  <c:v>47.527879206552839</c:v>
                </c:pt>
                <c:pt idx="12">
                  <c:v>21.316490674035325</c:v>
                </c:pt>
                <c:pt idx="13">
                  <c:v>11.694463633672155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37-4E72-B1BC-EB1E8476FB84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'44'!$Q$4:$Q$12</c:f>
              <c:numCache>
                <c:formatCode>0.0000</c:formatCode>
                <c:ptCount val="9"/>
                <c:pt idx="0">
                  <c:v>7.8658994254979797E-2</c:v>
                </c:pt>
                <c:pt idx="1">
                  <c:v>5.5620308239009895E-2</c:v>
                </c:pt>
                <c:pt idx="2">
                  <c:v>4.1818561106386057E-2</c:v>
                </c:pt>
                <c:pt idx="3">
                  <c:v>2.6600679118242699E-2</c:v>
                </c:pt>
                <c:pt idx="4">
                  <c:v>1.544533843267938E-2</c:v>
                </c:pt>
                <c:pt idx="5">
                  <c:v>9.0174771946025366E-3</c:v>
                </c:pt>
                <c:pt idx="6">
                  <c:v>5.5524520219482265E-3</c:v>
                </c:pt>
                <c:pt idx="7">
                  <c:v>3.2405246052518467E-3</c:v>
                </c:pt>
                <c:pt idx="8">
                  <c:v>1.6288962776364155E-3</c:v>
                </c:pt>
              </c:numCache>
            </c:numRef>
          </c:xVal>
          <c:yVal>
            <c:numRef>
              <c:f>'44'!$S$4:$S$12</c:f>
              <c:numCache>
                <c:formatCode>0.0</c:formatCode>
                <c:ptCount val="9"/>
                <c:pt idx="0">
                  <c:v>10.880681359508777</c:v>
                </c:pt>
                <c:pt idx="1">
                  <c:v>10.880681359508777</c:v>
                </c:pt>
                <c:pt idx="2">
                  <c:v>6.2108610335394046</c:v>
                </c:pt>
                <c:pt idx="3">
                  <c:v>5.7438790009423011</c:v>
                </c:pt>
                <c:pt idx="4">
                  <c:v>5.2768969683454054</c:v>
                </c:pt>
                <c:pt idx="5">
                  <c:v>4.3429329031516133</c:v>
                </c:pt>
                <c:pt idx="6">
                  <c:v>3.8759508705545103</c:v>
                </c:pt>
                <c:pt idx="7">
                  <c:v>2.9419868053607185</c:v>
                </c:pt>
                <c:pt idx="8">
                  <c:v>2.4750047727638229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37-4E72-B1BC-EB1E8476F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50304"/>
        <c:axId val="109651840"/>
      </c:scatterChart>
      <c:valAx>
        <c:axId val="10965030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651840"/>
        <c:crosses val="autoZero"/>
        <c:crossBetween val="midCat"/>
      </c:valAx>
      <c:valAx>
        <c:axId val="10965184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65030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'45'!$B$12:$B$24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'45'!$G$12:$G$24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98.343373493975903</c:v>
                </c:pt>
                <c:pt idx="4">
                  <c:v>90.662650602409641</c:v>
                </c:pt>
                <c:pt idx="5">
                  <c:v>88.253012048192772</c:v>
                </c:pt>
                <c:pt idx="6">
                  <c:v>74.146586345381522</c:v>
                </c:pt>
                <c:pt idx="7">
                  <c:v>52.610441767068266</c:v>
                </c:pt>
                <c:pt idx="8">
                  <c:v>42.018072289156621</c:v>
                </c:pt>
                <c:pt idx="9">
                  <c:v>37.148594377510037</c:v>
                </c:pt>
                <c:pt idx="10">
                  <c:v>21.586345381526101</c:v>
                </c:pt>
                <c:pt idx="11">
                  <c:v>11.244979919678711</c:v>
                </c:pt>
                <c:pt idx="12">
                  <c:v>6.22489959839357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9-400E-802E-BF21D3CC27F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49-400E-802E-BF21D3CC2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670784"/>
        <c:axId val="111064192"/>
      </c:scatterChart>
      <c:valAx>
        <c:axId val="1096707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064192"/>
        <c:crosses val="autoZero"/>
        <c:crossBetween val="midCat"/>
      </c:valAx>
      <c:valAx>
        <c:axId val="1110641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96707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'46'!$B$12:$B$24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'46'!$G$12:$G$24</c:f>
              <c:numCache>
                <c:formatCode>0.0</c:formatCode>
                <c:ptCount val="13"/>
                <c:pt idx="0">
                  <c:v>100</c:v>
                </c:pt>
                <c:pt idx="1">
                  <c:v>91.209489514933281</c:v>
                </c:pt>
                <c:pt idx="2">
                  <c:v>75.704299936454134</c:v>
                </c:pt>
                <c:pt idx="3">
                  <c:v>64.94386782461342</c:v>
                </c:pt>
                <c:pt idx="4">
                  <c:v>63.800042363905945</c:v>
                </c:pt>
                <c:pt idx="5">
                  <c:v>56.746452022876504</c:v>
                </c:pt>
                <c:pt idx="6">
                  <c:v>52.319423850879048</c:v>
                </c:pt>
                <c:pt idx="7">
                  <c:v>48.570218174115652</c:v>
                </c:pt>
                <c:pt idx="8">
                  <c:v>46.53675068841347</c:v>
                </c:pt>
                <c:pt idx="9">
                  <c:v>44.524465155687352</c:v>
                </c:pt>
                <c:pt idx="10">
                  <c:v>27.176445668290608</c:v>
                </c:pt>
                <c:pt idx="11">
                  <c:v>11.311162889218373</c:v>
                </c:pt>
                <c:pt idx="12">
                  <c:v>5.2319423850878914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E-426C-A5BA-620835C99E78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E-426C-A5BA-620835C9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24992"/>
        <c:axId val="110731648"/>
      </c:scatterChart>
      <c:valAx>
        <c:axId val="1107249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731648"/>
        <c:crosses val="autoZero"/>
        <c:crossBetween val="midCat"/>
      </c:valAx>
      <c:valAx>
        <c:axId val="1107316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7249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'47'!$B$12:$B$24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'47'!$G$12:$G$24</c:f>
              <c:numCache>
                <c:formatCode>0.0</c:formatCode>
                <c:ptCount val="13"/>
                <c:pt idx="0">
                  <c:v>100</c:v>
                </c:pt>
                <c:pt idx="1">
                  <c:v>84.040111151383357</c:v>
                </c:pt>
                <c:pt idx="2">
                  <c:v>50.900084571704724</c:v>
                </c:pt>
                <c:pt idx="3">
                  <c:v>48.302525069469617</c:v>
                </c:pt>
                <c:pt idx="4">
                  <c:v>48.000483266884139</c:v>
                </c:pt>
                <c:pt idx="5">
                  <c:v>39.120454270871093</c:v>
                </c:pt>
                <c:pt idx="6">
                  <c:v>31.641899238854663</c:v>
                </c:pt>
                <c:pt idx="7">
                  <c:v>24.102935846321138</c:v>
                </c:pt>
                <c:pt idx="8">
                  <c:v>19.499818774918456</c:v>
                </c:pt>
                <c:pt idx="9">
                  <c:v>13.748942853690957</c:v>
                </c:pt>
                <c:pt idx="10">
                  <c:v>5.4729974628488645</c:v>
                </c:pt>
                <c:pt idx="11">
                  <c:v>2.8029479279932401</c:v>
                </c:pt>
                <c:pt idx="12">
                  <c:v>1.6793524223752625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D-43D9-A78E-4BCB746E8DD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8D-43D9-A78E-4BCB746E8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25472"/>
        <c:axId val="111230336"/>
      </c:scatterChart>
      <c:valAx>
        <c:axId val="1112254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230336"/>
        <c:crosses val="autoZero"/>
        <c:crossBetween val="midCat"/>
      </c:valAx>
      <c:valAx>
        <c:axId val="1112303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2254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'48'!$B$12:$B$24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'48'!$G$12:$G$24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73.673535615771542</c:v>
                </c:pt>
                <c:pt idx="3">
                  <c:v>54.547298393639466</c:v>
                </c:pt>
                <c:pt idx="4">
                  <c:v>50.206879766347562</c:v>
                </c:pt>
                <c:pt idx="5">
                  <c:v>42.605062469576509</c:v>
                </c:pt>
                <c:pt idx="6">
                  <c:v>33.68489372059063</c:v>
                </c:pt>
                <c:pt idx="7">
                  <c:v>25.247444426415719</c:v>
                </c:pt>
                <c:pt idx="8">
                  <c:v>16.124452377089092</c:v>
                </c:pt>
                <c:pt idx="9">
                  <c:v>9.3542106117150858</c:v>
                </c:pt>
                <c:pt idx="10">
                  <c:v>5.0584131104981465</c:v>
                </c:pt>
                <c:pt idx="11">
                  <c:v>3.5737465520039065</c:v>
                </c:pt>
                <c:pt idx="12">
                  <c:v>1.1155281518740998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F5-499A-9171-0868C3F191E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F5-499A-9171-0868C3F19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8672"/>
        <c:axId val="111630976"/>
      </c:scatterChart>
      <c:valAx>
        <c:axId val="1116286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630976"/>
        <c:crosses val="autoZero"/>
        <c:crossBetween val="midCat"/>
      </c:valAx>
      <c:valAx>
        <c:axId val="1116309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6286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'49'!$B$12:$B$24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'49'!$G$12:$G$24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77.092916283348671</c:v>
                </c:pt>
                <c:pt idx="5">
                  <c:v>71.665133394664224</c:v>
                </c:pt>
                <c:pt idx="6">
                  <c:v>64.075436982520714</c:v>
                </c:pt>
                <c:pt idx="7">
                  <c:v>56.853725850965972</c:v>
                </c:pt>
                <c:pt idx="8">
                  <c:v>46.734130634774615</c:v>
                </c:pt>
                <c:pt idx="9">
                  <c:v>35.51057957681693</c:v>
                </c:pt>
                <c:pt idx="10">
                  <c:v>4.8758049678012902</c:v>
                </c:pt>
                <c:pt idx="11">
                  <c:v>3.2658693652253934</c:v>
                </c:pt>
                <c:pt idx="12">
                  <c:v>1.0119595216191373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C-4387-8F2B-1814CD02793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'49'!$Q$4:$Q$12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'49'!$S$4:$S$12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CC-4387-8F2B-1814CD027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49920"/>
        <c:axId val="111654784"/>
      </c:scatterChart>
      <c:valAx>
        <c:axId val="1116499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654784"/>
        <c:crosses val="autoZero"/>
        <c:crossBetween val="midCat"/>
      </c:valAx>
      <c:valAx>
        <c:axId val="1116547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6499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'50'!$B$12:$B$24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'50'!$G$12:$G$24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81.458145814581457</c:v>
                </c:pt>
                <c:pt idx="3">
                  <c:v>53.060306030603059</c:v>
                </c:pt>
                <c:pt idx="4">
                  <c:v>37.713771377137711</c:v>
                </c:pt>
                <c:pt idx="5">
                  <c:v>37.308730873087306</c:v>
                </c:pt>
                <c:pt idx="6">
                  <c:v>29.79297929792979</c:v>
                </c:pt>
                <c:pt idx="7">
                  <c:v>22.952295229522949</c:v>
                </c:pt>
                <c:pt idx="8">
                  <c:v>17.911791179117909</c:v>
                </c:pt>
                <c:pt idx="9">
                  <c:v>16.74167416741674</c:v>
                </c:pt>
                <c:pt idx="10">
                  <c:v>4.4554455445544523</c:v>
                </c:pt>
                <c:pt idx="11">
                  <c:v>1.5751575157515716</c:v>
                </c:pt>
                <c:pt idx="12">
                  <c:v>0.94509450945094153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60-42DF-BE78-A9084C6EABC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'50'!$Q$4:$Q$12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'50'!$S$4:$S$12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60-42DF-BE78-A9084C6EA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62816"/>
        <c:axId val="110802048"/>
      </c:scatterChart>
      <c:valAx>
        <c:axId val="11176281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802048"/>
        <c:crosses val="autoZero"/>
        <c:crossBetween val="midCat"/>
      </c:valAx>
      <c:valAx>
        <c:axId val="1108020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76281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'50'!$B$12:$B$24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'50'!$G$12:$G$24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81.458145814581457</c:v>
                </c:pt>
                <c:pt idx="3">
                  <c:v>53.060306030603059</c:v>
                </c:pt>
                <c:pt idx="4">
                  <c:v>37.713771377137711</c:v>
                </c:pt>
                <c:pt idx="5">
                  <c:v>37.308730873087306</c:v>
                </c:pt>
                <c:pt idx="6">
                  <c:v>29.79297929792979</c:v>
                </c:pt>
                <c:pt idx="7">
                  <c:v>22.952295229522949</c:v>
                </c:pt>
                <c:pt idx="8">
                  <c:v>17.911791179117909</c:v>
                </c:pt>
                <c:pt idx="9">
                  <c:v>16.74167416741674</c:v>
                </c:pt>
                <c:pt idx="10">
                  <c:v>4.4554455445544523</c:v>
                </c:pt>
                <c:pt idx="11">
                  <c:v>1.5751575157515716</c:v>
                </c:pt>
                <c:pt idx="12">
                  <c:v>0.94509450945094153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E7-409A-9A4C-C0D6E06E166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'50'!$Q$4:$Q$12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'50'!$S$4:$S$12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E7-409A-9A4C-C0D6E06E1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836736"/>
        <c:axId val="111563136"/>
      </c:scatterChart>
      <c:valAx>
        <c:axId val="1108367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563136"/>
        <c:crosses val="autoZero"/>
        <c:crossBetween val="midCat"/>
      </c:valAx>
      <c:valAx>
        <c:axId val="1115631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08367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'52'!$B$12:$B$24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'52'!$G$12:$G$24</c:f>
              <c:numCache>
                <c:formatCode>0.0</c:formatCode>
                <c:ptCount val="13"/>
                <c:pt idx="0">
                  <c:v>100</c:v>
                </c:pt>
                <c:pt idx="1">
                  <c:v>93.378690857346143</c:v>
                </c:pt>
                <c:pt idx="2">
                  <c:v>76.009427250088933</c:v>
                </c:pt>
                <c:pt idx="3">
                  <c:v>63.278192813945211</c:v>
                </c:pt>
                <c:pt idx="4">
                  <c:v>59.671824973319097</c:v>
                </c:pt>
                <c:pt idx="5">
                  <c:v>52.552472429740298</c:v>
                </c:pt>
                <c:pt idx="6">
                  <c:v>42.467093561010309</c:v>
                </c:pt>
                <c:pt idx="7">
                  <c:v>31.025435787975798</c:v>
                </c:pt>
                <c:pt idx="8">
                  <c:v>19.632692991817848</c:v>
                </c:pt>
                <c:pt idx="9">
                  <c:v>11.374955531839191</c:v>
                </c:pt>
                <c:pt idx="10">
                  <c:v>2.5836001422981028</c:v>
                </c:pt>
                <c:pt idx="11">
                  <c:v>1.0805763073639156</c:v>
                </c:pt>
                <c:pt idx="12">
                  <c:v>0.6714692280327168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75-463C-BD35-B7DB667B8EC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'52'!$Q$4:$Q$12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'52'!$S$4:$S$12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75-463C-BD35-B7DB667B8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518272"/>
        <c:axId val="112520576"/>
      </c:scatterChart>
      <c:valAx>
        <c:axId val="1125182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520576"/>
        <c:crosses val="autoZero"/>
        <c:crossBetween val="midCat"/>
      </c:valAx>
      <c:valAx>
        <c:axId val="1125205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5182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'53'!$B$12:$B$24</c:f>
              <c:numCache>
                <c:formatCode>General</c:formatCode>
                <c:ptCount val="13"/>
                <c:pt idx="0">
                  <c:v>63</c:v>
                </c:pt>
                <c:pt idx="1">
                  <c:v>40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'53'!$G$12:$G$24</c:f>
              <c:numCache>
                <c:formatCode>0.0</c:formatCode>
                <c:ptCount val="13"/>
                <c:pt idx="0">
                  <c:v>100</c:v>
                </c:pt>
                <c:pt idx="1">
                  <c:v>96.74650493421052</c:v>
                </c:pt>
                <c:pt idx="2">
                  <c:v>87.921463815789465</c:v>
                </c:pt>
                <c:pt idx="3">
                  <c:v>78.50020559210526</c:v>
                </c:pt>
                <c:pt idx="4">
                  <c:v>76.171875</c:v>
                </c:pt>
                <c:pt idx="5">
                  <c:v>72.455797697368425</c:v>
                </c:pt>
                <c:pt idx="6">
                  <c:v>66.11328125</c:v>
                </c:pt>
                <c:pt idx="7">
                  <c:v>46.756784539473685</c:v>
                </c:pt>
                <c:pt idx="8">
                  <c:v>14.211554276315795</c:v>
                </c:pt>
                <c:pt idx="9">
                  <c:v>5.1295230263157983</c:v>
                </c:pt>
                <c:pt idx="10">
                  <c:v>1.4802631578947461</c:v>
                </c:pt>
                <c:pt idx="11">
                  <c:v>0.87890625000000933</c:v>
                </c:pt>
                <c:pt idx="12">
                  <c:v>0.54995888157895678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B-4A58-8BE8-580ECEF61BC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'53'!$Q$4:$Q$12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'53'!$S$4:$S$12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B-4A58-8BE8-580ECEF6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04512"/>
        <c:axId val="112306816"/>
      </c:scatterChart>
      <c:valAx>
        <c:axId val="1123045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306816"/>
        <c:crosses val="autoZero"/>
        <c:crossBetween val="midCat"/>
      </c:valAx>
      <c:valAx>
        <c:axId val="11230681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3045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'60'!$B$12:$B$24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0.63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'60'!$G$12:$G$24</c:f>
              <c:numCache>
                <c:formatCode>0.0</c:formatCode>
                <c:ptCount val="13"/>
                <c:pt idx="0">
                  <c:v>100</c:v>
                </c:pt>
                <c:pt idx="1">
                  <c:v>92.719846227775108</c:v>
                </c:pt>
                <c:pt idx="2">
                  <c:v>80.850552618933207</c:v>
                </c:pt>
                <c:pt idx="3">
                  <c:v>70.374819798173959</c:v>
                </c:pt>
                <c:pt idx="4">
                  <c:v>66.338298894762133</c:v>
                </c:pt>
                <c:pt idx="5">
                  <c:v>62.085535800096096</c:v>
                </c:pt>
                <c:pt idx="6">
                  <c:v>56.463238827486784</c:v>
                </c:pt>
                <c:pt idx="7">
                  <c:v>50.720807304180674</c:v>
                </c:pt>
                <c:pt idx="8">
                  <c:v>45.290725612686195</c:v>
                </c:pt>
                <c:pt idx="9">
                  <c:v>37.986544930321955</c:v>
                </c:pt>
                <c:pt idx="10">
                  <c:v>23.42623738587217</c:v>
                </c:pt>
                <c:pt idx="11">
                  <c:v>12.974531475252277</c:v>
                </c:pt>
                <c:pt idx="12">
                  <c:v>7.20807304180682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5-4724-9DFE-2D0EA9B53B1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A5-4724-9DFE-2D0EA9B53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1040"/>
        <c:axId val="111433600"/>
      </c:scatterChart>
      <c:valAx>
        <c:axId val="1114310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433600"/>
        <c:crosses val="autoZero"/>
        <c:crossBetween val="midCat"/>
      </c:valAx>
      <c:valAx>
        <c:axId val="1114336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4310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'61'!$B$12:$B$24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'61'!$G$12:$G$24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96.712399689360595</c:v>
                </c:pt>
                <c:pt idx="3">
                  <c:v>90.03365260160497</c:v>
                </c:pt>
                <c:pt idx="4">
                  <c:v>90.03365260160497</c:v>
                </c:pt>
                <c:pt idx="5">
                  <c:v>90.03365260160497</c:v>
                </c:pt>
                <c:pt idx="6">
                  <c:v>78.954180688584003</c:v>
                </c:pt>
                <c:pt idx="7">
                  <c:v>72.94848563292777</c:v>
                </c:pt>
                <c:pt idx="8">
                  <c:v>64.198809215635507</c:v>
                </c:pt>
                <c:pt idx="9">
                  <c:v>54.387781516955727</c:v>
                </c:pt>
                <c:pt idx="10">
                  <c:v>35.516438001553183</c:v>
                </c:pt>
                <c:pt idx="11">
                  <c:v>17.344033134869257</c:v>
                </c:pt>
                <c:pt idx="12">
                  <c:v>9.2932953662956095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E4-48C1-BEE1-7580125459C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E4-48C1-BEE1-758012545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950464"/>
        <c:axId val="113128576"/>
      </c:scatterChart>
      <c:valAx>
        <c:axId val="1119504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3128576"/>
        <c:crosses val="autoZero"/>
        <c:crossBetween val="midCat"/>
      </c:valAx>
      <c:valAx>
        <c:axId val="1131285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19504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'62'!$G$11:$G$24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98.498498498498506</c:v>
                </c:pt>
                <c:pt idx="6">
                  <c:v>98.298298298298263</c:v>
                </c:pt>
                <c:pt idx="7">
                  <c:v>97.497497497497449</c:v>
                </c:pt>
                <c:pt idx="8">
                  <c:v>96.196196196196141</c:v>
                </c:pt>
                <c:pt idx="9">
                  <c:v>94.894894894894833</c:v>
                </c:pt>
                <c:pt idx="10">
                  <c:v>92.292292292292274</c:v>
                </c:pt>
                <c:pt idx="11">
                  <c:v>73.87387387387389</c:v>
                </c:pt>
                <c:pt idx="12">
                  <c:v>48.648648648648646</c:v>
                </c:pt>
                <c:pt idx="13">
                  <c:v>32.032032032032021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3-4BCF-AD3C-8BDEED4E49B9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'62'!$Q$4:$Q$12</c:f>
              <c:numCache>
                <c:formatCode>0.0000</c:formatCode>
                <c:ptCount val="9"/>
                <c:pt idx="0">
                  <c:v>7.9045690388452758E-2</c:v>
                </c:pt>
                <c:pt idx="1">
                  <c:v>5.6253952094364061E-2</c:v>
                </c:pt>
                <c:pt idx="2">
                  <c:v>4.0030636192649266E-2</c:v>
                </c:pt>
                <c:pt idx="3">
                  <c:v>2.5634729378167423E-2</c:v>
                </c:pt>
                <c:pt idx="4">
                  <c:v>1.498107658557366E-2</c:v>
                </c:pt>
                <c:pt idx="5">
                  <c:v>8.8036349313056258E-3</c:v>
                </c:pt>
                <c:pt idx="6">
                  <c:v>5.4138736398216683E-3</c:v>
                </c:pt>
                <c:pt idx="7">
                  <c:v>3.1777502206363425E-3</c:v>
                </c:pt>
                <c:pt idx="8">
                  <c:v>1.6163242226549276E-3</c:v>
                </c:pt>
              </c:numCache>
            </c:numRef>
          </c:xVal>
          <c:yVal>
            <c:numRef>
              <c:f>'62'!$S$4:$S$12</c:f>
              <c:numCache>
                <c:formatCode>0.0</c:formatCode>
                <c:ptCount val="9"/>
                <c:pt idx="0">
                  <c:v>18.981338195986247</c:v>
                </c:pt>
                <c:pt idx="1">
                  <c:v>18.130157110964536</c:v>
                </c:pt>
                <c:pt idx="2">
                  <c:v>17.278976025942445</c:v>
                </c:pt>
                <c:pt idx="3">
                  <c:v>15.576613855899014</c:v>
                </c:pt>
                <c:pt idx="4">
                  <c:v>13.874251685855205</c:v>
                </c:pt>
                <c:pt idx="5">
                  <c:v>11.320708430790063</c:v>
                </c:pt>
                <c:pt idx="6">
                  <c:v>9.0225195012310824</c:v>
                </c:pt>
                <c:pt idx="7">
                  <c:v>6.4689762461655604</c:v>
                </c:pt>
                <c:pt idx="8">
                  <c:v>4.5963778591177702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B3-4BCF-AD3C-8BDEED4E4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98752"/>
        <c:axId val="112591232"/>
      </c:scatterChart>
      <c:valAx>
        <c:axId val="11349875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591232"/>
        <c:crosses val="autoZero"/>
        <c:crossBetween val="midCat"/>
      </c:valAx>
      <c:valAx>
        <c:axId val="11259123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349875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'63'!$G$11:$G$24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97.907324364723451</c:v>
                </c:pt>
                <c:pt idx="6">
                  <c:v>96.562032884902806</c:v>
                </c:pt>
                <c:pt idx="7">
                  <c:v>96.013951170901805</c:v>
                </c:pt>
                <c:pt idx="8">
                  <c:v>94.867962132536078</c:v>
                </c:pt>
                <c:pt idx="9">
                  <c:v>93.771798704534092</c:v>
                </c:pt>
                <c:pt idx="10">
                  <c:v>92.127553562531105</c:v>
                </c:pt>
                <c:pt idx="11">
                  <c:v>76.681614349775757</c:v>
                </c:pt>
                <c:pt idx="12">
                  <c:v>49.377179870453404</c:v>
                </c:pt>
                <c:pt idx="13">
                  <c:v>31.539611360239164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A-4368-B519-C3C31A1699AB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'63'!$Q$4:$Q$12</c:f>
              <c:numCache>
                <c:formatCode>0.0000</c:formatCode>
                <c:ptCount val="9"/>
                <c:pt idx="0">
                  <c:v>7.5514759327613395E-2</c:v>
                </c:pt>
                <c:pt idx="1">
                  <c:v>5.5255969332381027E-2</c:v>
                </c:pt>
                <c:pt idx="2">
                  <c:v>3.9839752585108933E-2</c:v>
                </c:pt>
                <c:pt idx="3">
                  <c:v>2.5673337910407289E-2</c:v>
                </c:pt>
                <c:pt idx="4">
                  <c:v>1.5003098526177256E-2</c:v>
                </c:pt>
                <c:pt idx="5">
                  <c:v>8.8161267711407264E-3</c:v>
                </c:pt>
                <c:pt idx="6">
                  <c:v>5.4212978159400111E-3</c:v>
                </c:pt>
                <c:pt idx="7">
                  <c:v>3.1819664577858653E-3</c:v>
                </c:pt>
                <c:pt idx="8">
                  <c:v>1.6184233242713092E-3</c:v>
                </c:pt>
              </c:numCache>
            </c:numRef>
          </c:xVal>
          <c:yVal>
            <c:numRef>
              <c:f>'63'!$S$4:$S$12</c:f>
              <c:numCache>
                <c:formatCode>0.0</c:formatCode>
                <c:ptCount val="9"/>
                <c:pt idx="0">
                  <c:v>24.1959186656171</c:v>
                </c:pt>
                <c:pt idx="1">
                  <c:v>20.066922306296497</c:v>
                </c:pt>
                <c:pt idx="2">
                  <c:v>17.58952449070458</c:v>
                </c:pt>
                <c:pt idx="3">
                  <c:v>15.112126675112297</c:v>
                </c:pt>
                <c:pt idx="4">
                  <c:v>13.460528131383979</c:v>
                </c:pt>
                <c:pt idx="5">
                  <c:v>10.983130315792062</c:v>
                </c:pt>
                <c:pt idx="6">
                  <c:v>8.7534722817589952</c:v>
                </c:pt>
                <c:pt idx="7">
                  <c:v>6.2760744661667083</c:v>
                </c:pt>
                <c:pt idx="8">
                  <c:v>4.4593160680659505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A-4368-B519-C3C31A169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52640"/>
        <c:axId val="108354944"/>
      </c:scatterChart>
      <c:valAx>
        <c:axId val="1083526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354944"/>
        <c:crosses val="autoZero"/>
        <c:crossBetween val="midCat"/>
      </c:valAx>
      <c:valAx>
        <c:axId val="1083549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083526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'64'!$G$11:$G$24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96.840247131509273</c:v>
                </c:pt>
                <c:pt idx="4">
                  <c:v>94.510150044130626</c:v>
                </c:pt>
                <c:pt idx="5">
                  <c:v>94.510150044130626</c:v>
                </c:pt>
                <c:pt idx="6">
                  <c:v>93.345101500441302</c:v>
                </c:pt>
                <c:pt idx="7">
                  <c:v>84.889673433362745</c:v>
                </c:pt>
                <c:pt idx="8">
                  <c:v>71.209179170344214</c:v>
                </c:pt>
                <c:pt idx="9">
                  <c:v>61.94174757281553</c:v>
                </c:pt>
                <c:pt idx="10">
                  <c:v>55.163283318623122</c:v>
                </c:pt>
                <c:pt idx="11">
                  <c:v>38.764342453662842</c:v>
                </c:pt>
                <c:pt idx="12">
                  <c:v>20.282436010591343</c:v>
                </c:pt>
                <c:pt idx="13">
                  <c:v>11.791703442188867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57-4173-B9E1-D7E821D8435F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'64'!$Q$4:$Q$12</c:f>
              <c:numCache>
                <c:formatCode>0.0000</c:formatCode>
                <c:ptCount val="9"/>
                <c:pt idx="0">
                  <c:v>7.1175019891078606E-2</c:v>
                </c:pt>
                <c:pt idx="1">
                  <c:v>5.0717967156619914E-2</c:v>
                </c:pt>
                <c:pt idx="2">
                  <c:v>3.6136426613268435E-2</c:v>
                </c:pt>
                <c:pt idx="3">
                  <c:v>2.435576660679277E-2</c:v>
                </c:pt>
                <c:pt idx="4">
                  <c:v>1.4789592171616392E-2</c:v>
                </c:pt>
                <c:pt idx="5">
                  <c:v>8.7412971400132305E-3</c:v>
                </c:pt>
                <c:pt idx="6">
                  <c:v>5.4138736398216683E-3</c:v>
                </c:pt>
                <c:pt idx="7">
                  <c:v>3.1949114018161979E-3</c:v>
                </c:pt>
                <c:pt idx="8">
                  <c:v>1.594071974859347E-3</c:v>
                </c:pt>
              </c:numCache>
            </c:numRef>
          </c:xVal>
          <c:yVal>
            <c:numRef>
              <c:f>'64'!$S$4:$S$12</c:f>
              <c:numCache>
                <c:formatCode>0.0</c:formatCode>
                <c:ptCount val="9"/>
                <c:pt idx="0">
                  <c:v>9.4904219793892626</c:v>
                </c:pt>
                <c:pt idx="1">
                  <c:v>9.2238370923277948</c:v>
                </c:pt>
                <c:pt idx="2">
                  <c:v>8.9572522052663253</c:v>
                </c:pt>
                <c:pt idx="3">
                  <c:v>6.5579882217127574</c:v>
                </c:pt>
                <c:pt idx="4">
                  <c:v>4.4253091252207755</c:v>
                </c:pt>
                <c:pt idx="5">
                  <c:v>3.3589695769747836</c:v>
                </c:pt>
                <c:pt idx="6">
                  <c:v>2.8257998028518472</c:v>
                </c:pt>
                <c:pt idx="7">
                  <c:v>1.759460254605856</c:v>
                </c:pt>
                <c:pt idx="8">
                  <c:v>1.3329244353074003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57-4173-B9E1-D7E821D84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06624"/>
        <c:axId val="112908928"/>
      </c:scatterChart>
      <c:valAx>
        <c:axId val="1129066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908928"/>
        <c:crosses val="autoZero"/>
        <c:crossBetween val="midCat"/>
      </c:valAx>
      <c:valAx>
        <c:axId val="1129089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9066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'65'!$B$12:$B$24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'65'!$G$12:$G$24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98.704697108465268</c:v>
                </c:pt>
                <c:pt idx="5">
                  <c:v>86.654455056914827</c:v>
                </c:pt>
                <c:pt idx="6">
                  <c:v>66.374460290461869</c:v>
                </c:pt>
                <c:pt idx="7">
                  <c:v>62.671725762135296</c:v>
                </c:pt>
                <c:pt idx="8">
                  <c:v>50.935496532775097</c:v>
                </c:pt>
                <c:pt idx="9">
                  <c:v>41.240350647651454</c:v>
                </c:pt>
                <c:pt idx="10">
                  <c:v>27.05743817872564</c:v>
                </c:pt>
                <c:pt idx="11">
                  <c:v>12.913777312573608</c:v>
                </c:pt>
                <c:pt idx="12">
                  <c:v>6.8951982205940183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6C-4FE8-95AA-FE73CF252D1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6C-4FE8-95AA-FE73CF252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48352"/>
        <c:axId val="112957312"/>
      </c:scatterChart>
      <c:valAx>
        <c:axId val="11294835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957312"/>
        <c:crosses val="autoZero"/>
        <c:crossBetween val="midCat"/>
      </c:valAx>
      <c:valAx>
        <c:axId val="1129573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294835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'66'!$B$12:$B$24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'66'!$G$12:$G$24</c:f>
              <c:numCache>
                <c:formatCode>0.0</c:formatCode>
                <c:ptCount val="13"/>
                <c:pt idx="0">
                  <c:v>100</c:v>
                </c:pt>
                <c:pt idx="1">
                  <c:v>92.378480415290227</c:v>
                </c:pt>
                <c:pt idx="2">
                  <c:v>87.352524775837651</c:v>
                </c:pt>
                <c:pt idx="3">
                  <c:v>72.522416234072665</c:v>
                </c:pt>
                <c:pt idx="4">
                  <c:v>67.791411042944773</c:v>
                </c:pt>
                <c:pt idx="5">
                  <c:v>60.995752713544114</c:v>
                </c:pt>
                <c:pt idx="6">
                  <c:v>43.298725814063232</c:v>
                </c:pt>
                <c:pt idx="7">
                  <c:v>31.984426616328449</c:v>
                </c:pt>
                <c:pt idx="8">
                  <c:v>23.997168475696075</c:v>
                </c:pt>
                <c:pt idx="9">
                  <c:v>19.537517697026892</c:v>
                </c:pt>
                <c:pt idx="10">
                  <c:v>13.886267107125995</c:v>
                </c:pt>
                <c:pt idx="11">
                  <c:v>8.388390750353933</c:v>
                </c:pt>
                <c:pt idx="12">
                  <c:v>5.60405851816894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5-4F32-82D8-B3BFC1BD108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65-4F32-82D8-B3BFC1BD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891968"/>
        <c:axId val="114025600"/>
      </c:scatterChart>
      <c:valAx>
        <c:axId val="1138919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025600"/>
        <c:crosses val="autoZero"/>
        <c:crossBetween val="midCat"/>
      </c:valAx>
      <c:valAx>
        <c:axId val="1140256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38919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'67'!$B$12:$B$24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'67'!$G$12:$G$24</c:f>
              <c:numCache>
                <c:formatCode>0.0</c:formatCode>
                <c:ptCount val="1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91.293956981905083</c:v>
                </c:pt>
                <c:pt idx="4">
                  <c:v>85.341982474109471</c:v>
                </c:pt>
                <c:pt idx="5">
                  <c:v>75.247524752475229</c:v>
                </c:pt>
                <c:pt idx="6">
                  <c:v>53.63605326049845</c:v>
                </c:pt>
                <c:pt idx="7">
                  <c:v>32.775691362239655</c:v>
                </c:pt>
                <c:pt idx="8">
                  <c:v>18.0266302492318</c:v>
                </c:pt>
                <c:pt idx="9">
                  <c:v>9.6392397860475523</c:v>
                </c:pt>
                <c:pt idx="10">
                  <c:v>3.6758848298622748</c:v>
                </c:pt>
                <c:pt idx="11">
                  <c:v>2.3329919198816205</c:v>
                </c:pt>
                <c:pt idx="12">
                  <c:v>1.1152839421873006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4-4710-BC31-D7F0034A3F76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84-4710-BC31-D7F0034A3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739648"/>
        <c:axId val="113754496"/>
      </c:scatterChart>
      <c:valAx>
        <c:axId val="11373964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3754496"/>
        <c:crosses val="autoZero"/>
        <c:crossBetween val="midCat"/>
      </c:valAx>
      <c:valAx>
        <c:axId val="1137544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373964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'68'!$B$12:$B$24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'68'!$G$12:$G$24</c:f>
              <c:numCache>
                <c:formatCode>0.0</c:formatCode>
                <c:ptCount val="13"/>
                <c:pt idx="0">
                  <c:v>100</c:v>
                </c:pt>
                <c:pt idx="1">
                  <c:v>85.790923589966653</c:v>
                </c:pt>
                <c:pt idx="2">
                  <c:v>74.699144555603894</c:v>
                </c:pt>
                <c:pt idx="3">
                  <c:v>59.344642598231133</c:v>
                </c:pt>
                <c:pt idx="4">
                  <c:v>56.125851819631734</c:v>
                </c:pt>
                <c:pt idx="5">
                  <c:v>48.919820211686243</c:v>
                </c:pt>
                <c:pt idx="6">
                  <c:v>41.626794258373209</c:v>
                </c:pt>
                <c:pt idx="7">
                  <c:v>35.348702334348275</c:v>
                </c:pt>
                <c:pt idx="8">
                  <c:v>21.299115557488769</c:v>
                </c:pt>
                <c:pt idx="9">
                  <c:v>9.5983761055531502</c:v>
                </c:pt>
                <c:pt idx="10">
                  <c:v>4.4367116137451248</c:v>
                </c:pt>
                <c:pt idx="11">
                  <c:v>2.551834130781518</c:v>
                </c:pt>
                <c:pt idx="12">
                  <c:v>1.6528925619834838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B-4B00-A7F3-4E2063A8E9B8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CB-4B00-A7F3-4E2063A8E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08928"/>
        <c:axId val="114511232"/>
      </c:scatterChart>
      <c:valAx>
        <c:axId val="1145089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511232"/>
        <c:crosses val="autoZero"/>
        <c:crossBetween val="midCat"/>
      </c:valAx>
      <c:valAx>
        <c:axId val="11451123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5089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'69'!$B$12:$B$24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'69'!$G$12:$G$24</c:f>
              <c:numCache>
                <c:formatCode>0.0</c:formatCode>
                <c:ptCount val="13"/>
                <c:pt idx="0">
                  <c:v>100</c:v>
                </c:pt>
                <c:pt idx="1">
                  <c:v>95.813330356146025</c:v>
                </c:pt>
                <c:pt idx="2">
                  <c:v>83.543597186558003</c:v>
                </c:pt>
                <c:pt idx="3">
                  <c:v>62.945182538796487</c:v>
                </c:pt>
                <c:pt idx="4">
                  <c:v>56.815898180194274</c:v>
                </c:pt>
                <c:pt idx="5">
                  <c:v>47.862007368538585</c:v>
                </c:pt>
                <c:pt idx="6">
                  <c:v>37.936809199508772</c:v>
                </c:pt>
                <c:pt idx="7">
                  <c:v>28.994082840236693</c:v>
                </c:pt>
                <c:pt idx="8">
                  <c:v>20.553756838227091</c:v>
                </c:pt>
                <c:pt idx="9">
                  <c:v>10.31595400245619</c:v>
                </c:pt>
                <c:pt idx="10">
                  <c:v>4.7783856201853459</c:v>
                </c:pt>
                <c:pt idx="11">
                  <c:v>3.2153622864798646</c:v>
                </c:pt>
                <c:pt idx="12">
                  <c:v>1.3843920955677256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3E-4389-91CD-58743690099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'69'!$Q$4:$Q$12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'69'!$S$4:$S$12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3E-4389-91CD-587436900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37824"/>
        <c:axId val="114240128"/>
      </c:scatterChart>
      <c:valAx>
        <c:axId val="1142378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240128"/>
        <c:crosses val="autoZero"/>
        <c:crossBetween val="midCat"/>
      </c:valAx>
      <c:valAx>
        <c:axId val="1142401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2378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'70'!$B$12:$B$24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'70'!$G$12:$G$24</c:f>
              <c:numCache>
                <c:formatCode>0.0</c:formatCode>
                <c:ptCount val="13"/>
                <c:pt idx="0">
                  <c:v>100</c:v>
                </c:pt>
                <c:pt idx="1">
                  <c:v>98.0175799513746</c:v>
                </c:pt>
                <c:pt idx="2">
                  <c:v>81.232466803815214</c:v>
                </c:pt>
                <c:pt idx="3">
                  <c:v>63.914344492238627</c:v>
                </c:pt>
                <c:pt idx="4">
                  <c:v>55.451655133719825</c:v>
                </c:pt>
                <c:pt idx="5">
                  <c:v>46.596222180662032</c:v>
                </c:pt>
                <c:pt idx="6">
                  <c:v>35.795773330839701</c:v>
                </c:pt>
                <c:pt idx="7">
                  <c:v>23.471105292687465</c:v>
                </c:pt>
                <c:pt idx="8">
                  <c:v>15.036469048064308</c:v>
                </c:pt>
                <c:pt idx="9">
                  <c:v>9.098559940153331</c:v>
                </c:pt>
                <c:pt idx="10">
                  <c:v>3.1980549841032131</c:v>
                </c:pt>
                <c:pt idx="11">
                  <c:v>1.7673461754254489</c:v>
                </c:pt>
                <c:pt idx="12">
                  <c:v>1.0847204039648157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2-4723-B6ED-1145AF8067A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12-4723-B6ED-1145AF806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36128"/>
        <c:axId val="114337664"/>
      </c:scatterChart>
      <c:valAx>
        <c:axId val="1143361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337664"/>
        <c:crosses val="autoZero"/>
        <c:crossBetween val="midCat"/>
      </c:valAx>
      <c:valAx>
        <c:axId val="1143376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3361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'71'!$B$12:$B$24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'71'!$G$12:$G$24</c:f>
              <c:numCache>
                <c:formatCode>0.0</c:formatCode>
                <c:ptCount val="13"/>
                <c:pt idx="0">
                  <c:v>100</c:v>
                </c:pt>
                <c:pt idx="1">
                  <c:v>97.832530566876628</c:v>
                </c:pt>
                <c:pt idx="2">
                  <c:v>79.798073360503892</c:v>
                </c:pt>
                <c:pt idx="3">
                  <c:v>61.087439792515752</c:v>
                </c:pt>
                <c:pt idx="4">
                  <c:v>56.372730640978148</c:v>
                </c:pt>
                <c:pt idx="5">
                  <c:v>46.989625787328649</c:v>
                </c:pt>
                <c:pt idx="6">
                  <c:v>34.605409410892932</c:v>
                </c:pt>
                <c:pt idx="7">
                  <c:v>19.155242682474999</c:v>
                </c:pt>
                <c:pt idx="8">
                  <c:v>10.068543905150063</c:v>
                </c:pt>
                <c:pt idx="9">
                  <c:v>4.3812523156724783</c:v>
                </c:pt>
                <c:pt idx="10">
                  <c:v>1.8247499073731079</c:v>
                </c:pt>
                <c:pt idx="11">
                  <c:v>0.94479436828455654</c:v>
                </c:pt>
                <c:pt idx="12">
                  <c:v>0.58354946276399333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A-421C-B6D0-A97981EA610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A-421C-B6D0-A97981EA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8896"/>
        <c:axId val="115057792"/>
      </c:scatterChart>
      <c:valAx>
        <c:axId val="1143688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5057792"/>
        <c:crosses val="autoZero"/>
        <c:crossBetween val="midCat"/>
      </c:valAx>
      <c:valAx>
        <c:axId val="1150577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3688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92.007703418391912</c:v>
                </c:pt>
                <c:pt idx="3">
                  <c:v>78.29802599903708</c:v>
                </c:pt>
                <c:pt idx="4">
                  <c:v>64.973519499277813</c:v>
                </c:pt>
                <c:pt idx="5">
                  <c:v>61.880115551275885</c:v>
                </c:pt>
                <c:pt idx="6">
                  <c:v>53.18969667790082</c:v>
                </c:pt>
                <c:pt idx="7">
                  <c:v>40.214251324025042</c:v>
                </c:pt>
                <c:pt idx="8">
                  <c:v>28.70727010110738</c:v>
                </c:pt>
                <c:pt idx="9">
                  <c:v>12.506018295618695</c:v>
                </c:pt>
                <c:pt idx="10">
                  <c:v>6.9812229176697338</c:v>
                </c:pt>
                <c:pt idx="11">
                  <c:v>4.5739046701974182</c:v>
                </c:pt>
                <c:pt idx="12">
                  <c:v>3.418391911410704</c:v>
                </c:pt>
                <c:pt idx="13">
                  <c:v>3.1896966779008298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F5-400E-A68B-76A065D6642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F5-400E-A68B-76A065D6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2768"/>
        <c:axId val="115155328"/>
      </c:scatterChart>
      <c:valAx>
        <c:axId val="1151527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5155328"/>
        <c:crosses val="autoZero"/>
        <c:crossBetween val="midCat"/>
      </c:valAx>
      <c:valAx>
        <c:axId val="1151553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51527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84.735719364778376</c:v>
                </c:pt>
                <c:pt idx="4">
                  <c:v>69.495141028679768</c:v>
                </c:pt>
                <c:pt idx="5">
                  <c:v>66.864185826025107</c:v>
                </c:pt>
                <c:pt idx="6">
                  <c:v>58.544678833846859</c:v>
                </c:pt>
                <c:pt idx="7">
                  <c:v>48.684522398672655</c:v>
                </c:pt>
                <c:pt idx="8">
                  <c:v>37.070395828395334</c:v>
                </c:pt>
                <c:pt idx="9">
                  <c:v>17.089357667693744</c:v>
                </c:pt>
                <c:pt idx="10">
                  <c:v>8.8883621711305842</c:v>
                </c:pt>
                <c:pt idx="11">
                  <c:v>5.7359563877696091</c:v>
                </c:pt>
                <c:pt idx="12">
                  <c:v>4.3138184403887134</c:v>
                </c:pt>
                <c:pt idx="13">
                  <c:v>3.8160701588053945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90-4151-9350-35EB3A3C5F2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'73'!$Q$4:$Q$12</c:f>
              <c:numCache>
                <c:formatCode>General</c:formatCode>
                <c:ptCount val="9"/>
              </c:numCache>
            </c:numRef>
          </c:xVal>
          <c:yVal>
            <c:numRef>
              <c:f>'73'!$S$4:$S$12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90-4151-9350-35EB3A3C5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86304"/>
        <c:axId val="115195264"/>
      </c:scatterChart>
      <c:valAx>
        <c:axId val="11518630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15195264"/>
        <c:crosses val="autoZero"/>
        <c:crossBetween val="midCat"/>
      </c:valAx>
      <c:valAx>
        <c:axId val="1151952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1518630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76.414756446991419</c:v>
                </c:pt>
                <c:pt idx="3">
                  <c:v>66.941260744985698</c:v>
                </c:pt>
                <c:pt idx="4">
                  <c:v>53.939828080229255</c:v>
                </c:pt>
                <c:pt idx="5">
                  <c:v>50.232808022922654</c:v>
                </c:pt>
                <c:pt idx="6">
                  <c:v>42.478510028653304</c:v>
                </c:pt>
                <c:pt idx="7">
                  <c:v>36.264326647564481</c:v>
                </c:pt>
                <c:pt idx="8">
                  <c:v>31.590257879656178</c:v>
                </c:pt>
                <c:pt idx="9">
                  <c:v>22.152578796561627</c:v>
                </c:pt>
                <c:pt idx="10">
                  <c:v>12.410458452722091</c:v>
                </c:pt>
                <c:pt idx="11">
                  <c:v>10.20773638968485</c:v>
                </c:pt>
                <c:pt idx="12">
                  <c:v>9.1869627507163614</c:v>
                </c:pt>
                <c:pt idx="13">
                  <c:v>8.3989971346705108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3-45B0-90A7-2EB9C1C11E3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83-45B0-90A7-2EB9C1C11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72288"/>
        <c:axId val="114174592"/>
      </c:scatterChart>
      <c:valAx>
        <c:axId val="11417228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174592"/>
        <c:crosses val="autoZero"/>
        <c:crossBetween val="midCat"/>
      </c:valAx>
      <c:valAx>
        <c:axId val="1141745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17228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d &gt; 0.125 mm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'75'!$G$11:$G$24</c:f>
              <c:numCache>
                <c:formatCode>0.0</c:formatCode>
                <c:ptCount val="14"/>
                <c:pt idx="0" formatCode="General">
                  <c:v>100</c:v>
                </c:pt>
                <c:pt idx="1">
                  <c:v>88.862190229665771</c:v>
                </c:pt>
                <c:pt idx="2">
                  <c:v>71.6707745934184</c:v>
                </c:pt>
                <c:pt idx="3">
                  <c:v>58.666350407870745</c:v>
                </c:pt>
                <c:pt idx="4">
                  <c:v>46.270380644961719</c:v>
                </c:pt>
                <c:pt idx="5">
                  <c:v>43.929378035826652</c:v>
                </c:pt>
                <c:pt idx="6">
                  <c:v>37.638578072952683</c:v>
                </c:pt>
                <c:pt idx="7">
                  <c:v>30.429940082708576</c:v>
                </c:pt>
                <c:pt idx="8">
                  <c:v>24.840409623892693</c:v>
                </c:pt>
                <c:pt idx="9">
                  <c:v>17.332700815741468</c:v>
                </c:pt>
                <c:pt idx="10">
                  <c:v>10.144688399146133</c:v>
                </c:pt>
                <c:pt idx="11">
                  <c:v>5.0192333474275097</c:v>
                </c:pt>
                <c:pt idx="12">
                  <c:v>3.4723153237699771</c:v>
                </c:pt>
                <c:pt idx="13">
                  <c:v>2.8535481143069639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A-4169-BD03-F8A79C889F1B}"/>
            </c:ext>
          </c:extLst>
        </c:ser>
        <c:ser>
          <c:idx val="2"/>
          <c:order val="1"/>
          <c:tx>
            <c:v>Sedimentation d &lt; 0.125 mm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'75'!$Q$4:$Q$13</c:f>
              <c:numCache>
                <c:formatCode>General</c:formatCode>
                <c:ptCount val="10"/>
              </c:numCache>
            </c:numRef>
          </c:xVal>
          <c:yVal>
            <c:numRef>
              <c:f>'75'!$S$4:$S$13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1A-4169-BD03-F8A79C889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97632"/>
        <c:axId val="114206592"/>
      </c:scatterChart>
      <c:valAx>
        <c:axId val="1141976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14206592"/>
        <c:crosses val="autoZero"/>
        <c:crossBetween val="midCat"/>
      </c:valAx>
      <c:valAx>
        <c:axId val="1142065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141976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088379264045964"/>
          <c:y val="0.77823310557835168"/>
          <c:w val="0.2633085864673308"/>
          <c:h val="8.11549533411777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0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96.260330578512395</c:v>
                </c:pt>
                <c:pt idx="3">
                  <c:v>94.876033057851231</c:v>
                </c:pt>
                <c:pt idx="4">
                  <c:v>78.119834710743788</c:v>
                </c:pt>
                <c:pt idx="5">
                  <c:v>72.685950413223111</c:v>
                </c:pt>
                <c:pt idx="6">
                  <c:v>58.491735537190046</c:v>
                </c:pt>
                <c:pt idx="7">
                  <c:v>43.078512396694187</c:v>
                </c:pt>
                <c:pt idx="8">
                  <c:v>31.611570247933855</c:v>
                </c:pt>
                <c:pt idx="9">
                  <c:v>15.76446280991733</c:v>
                </c:pt>
                <c:pt idx="10">
                  <c:v>9.504132231404931</c:v>
                </c:pt>
                <c:pt idx="11">
                  <c:v>6.1157024793388199</c:v>
                </c:pt>
                <c:pt idx="12">
                  <c:v>3.9462809917355144</c:v>
                </c:pt>
                <c:pt idx="13">
                  <c:v>3.5537190082644332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4-430F-80B4-A5328E97904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'76'!$Q$4:$Q$12</c:f>
              <c:numCache>
                <c:formatCode>General</c:formatCode>
                <c:ptCount val="9"/>
              </c:numCache>
            </c:numRef>
          </c:xVal>
          <c:yVal>
            <c:numRef>
              <c:f>'76'!$S$4:$S$12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D4-430F-80B4-A5328E979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5264"/>
        <c:axId val="114717824"/>
      </c:scatterChart>
      <c:valAx>
        <c:axId val="1147152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14717824"/>
        <c:crosses val="autoZero"/>
        <c:crossBetween val="midCat"/>
      </c:valAx>
      <c:valAx>
        <c:axId val="1147178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147152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'77'!$G$11:$G$24</c:f>
              <c:numCache>
                <c:formatCode>0.0</c:formatCode>
                <c:ptCount val="14"/>
                <c:pt idx="0">
                  <c:v>100</c:v>
                </c:pt>
                <c:pt idx="1">
                  <c:v>94.452179500910361</c:v>
                </c:pt>
                <c:pt idx="2">
                  <c:v>85.434293670343806</c:v>
                </c:pt>
                <c:pt idx="3">
                  <c:v>75.559601585091585</c:v>
                </c:pt>
                <c:pt idx="4">
                  <c:v>63.296562064903085</c:v>
                </c:pt>
                <c:pt idx="5">
                  <c:v>59.922887437078302</c:v>
                </c:pt>
                <c:pt idx="6">
                  <c:v>49.876834100888942</c:v>
                </c:pt>
                <c:pt idx="7">
                  <c:v>35.129056442112038</c:v>
                </c:pt>
                <c:pt idx="8">
                  <c:v>22.983827781942821</c:v>
                </c:pt>
                <c:pt idx="9">
                  <c:v>10.795758809039318</c:v>
                </c:pt>
                <c:pt idx="10">
                  <c:v>6.1154546428189063</c:v>
                </c:pt>
                <c:pt idx="11">
                  <c:v>3.2130234550712395</c:v>
                </c:pt>
                <c:pt idx="12">
                  <c:v>1.4351504765984942</c:v>
                </c:pt>
                <c:pt idx="13">
                  <c:v>1.038877583806378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1A-44A6-835A-6FDE6A485B9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1A-44A6-835A-6FDE6A485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63648"/>
        <c:axId val="114766208"/>
      </c:scatterChart>
      <c:valAx>
        <c:axId val="11476364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766208"/>
        <c:crosses val="autoZero"/>
        <c:crossBetween val="midCat"/>
      </c:valAx>
      <c:valAx>
        <c:axId val="1147662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476364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94.423552165037066</c:v>
                </c:pt>
                <c:pt idx="3">
                  <c:v>86.49403674653486</c:v>
                </c:pt>
                <c:pt idx="4">
                  <c:v>69.205973998065971</c:v>
                </c:pt>
                <c:pt idx="5">
                  <c:v>65.606532717309548</c:v>
                </c:pt>
                <c:pt idx="6">
                  <c:v>54.270978833136347</c:v>
                </c:pt>
                <c:pt idx="7">
                  <c:v>37.401955517352519</c:v>
                </c:pt>
                <c:pt idx="8">
                  <c:v>23.476952831202311</c:v>
                </c:pt>
                <c:pt idx="9">
                  <c:v>12.624905984742657</c:v>
                </c:pt>
                <c:pt idx="10">
                  <c:v>6.4145267003330719</c:v>
                </c:pt>
                <c:pt idx="11">
                  <c:v>3.3952938648329143</c:v>
                </c:pt>
                <c:pt idx="12">
                  <c:v>1.6869023315783713</c:v>
                </c:pt>
                <c:pt idx="13">
                  <c:v>0.97775867626516377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9-46A1-88F3-357E32DBC3E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9-46A1-88F3-357E32DBC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29536"/>
        <c:axId val="115731840"/>
      </c:scatterChart>
      <c:valAx>
        <c:axId val="1157295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5731840"/>
        <c:crosses val="autoZero"/>
        <c:crossBetween val="midCat"/>
      </c:valAx>
      <c:valAx>
        <c:axId val="11573184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57295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'79'!$B$11:$B$24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'79'!$G$11:$G$24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92.334047109207717</c:v>
                </c:pt>
                <c:pt idx="3">
                  <c:v>87.323340471092081</c:v>
                </c:pt>
                <c:pt idx="4">
                  <c:v>78.051391862955043</c:v>
                </c:pt>
                <c:pt idx="5">
                  <c:v>77.04496788008565</c:v>
                </c:pt>
                <c:pt idx="6">
                  <c:v>70.813704496788006</c:v>
                </c:pt>
                <c:pt idx="7">
                  <c:v>60.578158458244104</c:v>
                </c:pt>
                <c:pt idx="8">
                  <c:v>47.815845824411134</c:v>
                </c:pt>
                <c:pt idx="9">
                  <c:v>33.297644539614559</c:v>
                </c:pt>
                <c:pt idx="10">
                  <c:v>18.715203426124205</c:v>
                </c:pt>
                <c:pt idx="11">
                  <c:v>8.1370449678800991</c:v>
                </c:pt>
                <c:pt idx="12">
                  <c:v>6.659528907922919</c:v>
                </c:pt>
                <c:pt idx="13">
                  <c:v>5.6745182012847986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7-499A-82CA-17EDEDA2FF3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'79'!$Q$4:$Q$12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'79'!$S$4:$S$12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C7-499A-82CA-17EDEDA2F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17024"/>
        <c:axId val="116030080"/>
      </c:scatterChart>
      <c:valAx>
        <c:axId val="1160170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030080"/>
        <c:crosses val="autoZero"/>
        <c:crossBetween val="midCat"/>
      </c:valAx>
      <c:valAx>
        <c:axId val="1160300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0170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85.961810466760966</c:v>
                </c:pt>
                <c:pt idx="3">
                  <c:v>78.453559641678453</c:v>
                </c:pt>
                <c:pt idx="4">
                  <c:v>69.106553512494116</c:v>
                </c:pt>
                <c:pt idx="5">
                  <c:v>67.32673267326733</c:v>
                </c:pt>
                <c:pt idx="6">
                  <c:v>61.680810938236675</c:v>
                </c:pt>
                <c:pt idx="7">
                  <c:v>53.536067892503539</c:v>
                </c:pt>
                <c:pt idx="8">
                  <c:v>45.532767562470539</c:v>
                </c:pt>
                <c:pt idx="9">
                  <c:v>31.694955209806704</c:v>
                </c:pt>
                <c:pt idx="10">
                  <c:v>16.631305987741644</c:v>
                </c:pt>
                <c:pt idx="11">
                  <c:v>7.9679396511079847</c:v>
                </c:pt>
                <c:pt idx="12">
                  <c:v>5.6459217350306581</c:v>
                </c:pt>
                <c:pt idx="13">
                  <c:v>4.5615275813295755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8-4DEE-9F01-C2A0277C8AF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8-4DEE-9F01-C2A0277C8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28160"/>
        <c:axId val="116541312"/>
      </c:scatterChart>
      <c:valAx>
        <c:axId val="1160281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541312"/>
        <c:crosses val="autoZero"/>
        <c:crossBetween val="midCat"/>
      </c:valAx>
      <c:valAx>
        <c:axId val="1165413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0281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83.030571555161714</c:v>
                </c:pt>
                <c:pt idx="3">
                  <c:v>72.75143996455472</c:v>
                </c:pt>
                <c:pt idx="4">
                  <c:v>55.782011519716441</c:v>
                </c:pt>
                <c:pt idx="5">
                  <c:v>53.511298183429332</c:v>
                </c:pt>
                <c:pt idx="6">
                  <c:v>44.63890119627824</c:v>
                </c:pt>
                <c:pt idx="7">
                  <c:v>36.132033673017276</c:v>
                </c:pt>
                <c:pt idx="8">
                  <c:v>27.392556490917144</c:v>
                </c:pt>
                <c:pt idx="9">
                  <c:v>18.564466105449711</c:v>
                </c:pt>
                <c:pt idx="10">
                  <c:v>10.423128046078865</c:v>
                </c:pt>
                <c:pt idx="11">
                  <c:v>5.3832521045635806</c:v>
                </c:pt>
                <c:pt idx="12">
                  <c:v>2.8023925564909167</c:v>
                </c:pt>
                <c:pt idx="13">
                  <c:v>1.9273371732388083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49-4997-991B-0B72D1F41B6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49-4997-991B-0B72D1F41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68448"/>
        <c:axId val="116393088"/>
      </c:scatterChart>
      <c:valAx>
        <c:axId val="11656844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393088"/>
        <c:crosses val="autoZero"/>
        <c:crossBetween val="midCat"/>
      </c:valAx>
      <c:valAx>
        <c:axId val="1163930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56844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'82'!$G$11:$G$24</c:f>
              <c:numCache>
                <c:formatCode>0.0</c:formatCode>
                <c:ptCount val="14"/>
                <c:pt idx="0">
                  <c:v>100</c:v>
                </c:pt>
                <c:pt idx="1">
                  <c:v>85.152022040736</c:v>
                </c:pt>
                <c:pt idx="2">
                  <c:v>75.233690839319095</c:v>
                </c:pt>
                <c:pt idx="3">
                  <c:v>68.434517366919209</c:v>
                </c:pt>
                <c:pt idx="4">
                  <c:v>53.822690150546087</c:v>
                </c:pt>
                <c:pt idx="5">
                  <c:v>51.244711207320655</c:v>
                </c:pt>
                <c:pt idx="6">
                  <c:v>43.815802420545097</c:v>
                </c:pt>
                <c:pt idx="7">
                  <c:v>35.894912919413535</c:v>
                </c:pt>
                <c:pt idx="8">
                  <c:v>28.889107546984135</c:v>
                </c:pt>
                <c:pt idx="9">
                  <c:v>20.29912427432842</c:v>
                </c:pt>
                <c:pt idx="10">
                  <c:v>11.82721637311815</c:v>
                </c:pt>
                <c:pt idx="11">
                  <c:v>6.110400472301464</c:v>
                </c:pt>
                <c:pt idx="12">
                  <c:v>3.6209780576601167</c:v>
                </c:pt>
                <c:pt idx="13">
                  <c:v>2.4992620289284391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F-4D6D-9181-B6131285EEE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F-4D6D-9181-B6131285E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4480"/>
        <c:axId val="116171136"/>
      </c:scatterChart>
      <c:valAx>
        <c:axId val="1161644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171136"/>
        <c:crosses val="autoZero"/>
        <c:crossBetween val="midCat"/>
      </c:valAx>
      <c:valAx>
        <c:axId val="1161711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1644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'83'!$G$11:$G$24</c:f>
              <c:numCache>
                <c:formatCode>0.0</c:formatCode>
                <c:ptCount val="14"/>
                <c:pt idx="0">
                  <c:v>100</c:v>
                </c:pt>
                <c:pt idx="1">
                  <c:v>81.00738496496875</c:v>
                </c:pt>
                <c:pt idx="2">
                  <c:v>64.571103957583787</c:v>
                </c:pt>
                <c:pt idx="3">
                  <c:v>52.206021586820675</c:v>
                </c:pt>
                <c:pt idx="4">
                  <c:v>41.317932209808745</c:v>
                </c:pt>
                <c:pt idx="5">
                  <c:v>38.85627722022344</c:v>
                </c:pt>
                <c:pt idx="6">
                  <c:v>31.187275137284601</c:v>
                </c:pt>
                <c:pt idx="7">
                  <c:v>23.811778072334775</c:v>
                </c:pt>
                <c:pt idx="8">
                  <c:v>17.80912705926907</c:v>
                </c:pt>
                <c:pt idx="9">
                  <c:v>11.683393296724098</c:v>
                </c:pt>
                <c:pt idx="10">
                  <c:v>7.9719750047339453</c:v>
                </c:pt>
                <c:pt idx="11">
                  <c:v>4.6487407687937843</c:v>
                </c:pt>
                <c:pt idx="12">
                  <c:v>2.4427191819731049</c:v>
                </c:pt>
                <c:pt idx="13">
                  <c:v>1.5716720318121515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8-44CA-9876-B3122E49ECA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8-44CA-9876-B3122E49E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57472"/>
        <c:axId val="116870528"/>
      </c:scatterChart>
      <c:valAx>
        <c:axId val="1168574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870528"/>
        <c:crosses val="autoZero"/>
        <c:crossBetween val="midCat"/>
      </c:valAx>
      <c:valAx>
        <c:axId val="1168705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8574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90.961774211523462</c:v>
                </c:pt>
                <c:pt idx="3">
                  <c:v>79.616627660760059</c:v>
                </c:pt>
                <c:pt idx="4">
                  <c:v>63.613061406441545</c:v>
                </c:pt>
                <c:pt idx="5">
                  <c:v>60.22511980385601</c:v>
                </c:pt>
                <c:pt idx="6">
                  <c:v>50.451354062186553</c:v>
                </c:pt>
                <c:pt idx="7">
                  <c:v>40.510420149336895</c:v>
                </c:pt>
                <c:pt idx="8">
                  <c:v>28.463167279616624</c:v>
                </c:pt>
                <c:pt idx="9">
                  <c:v>15.780675359411561</c:v>
                </c:pt>
                <c:pt idx="10">
                  <c:v>9.3948512203276398</c:v>
                </c:pt>
                <c:pt idx="11">
                  <c:v>5.2490805750584997</c:v>
                </c:pt>
                <c:pt idx="12">
                  <c:v>2.7527025521007396</c:v>
                </c:pt>
                <c:pt idx="13">
                  <c:v>1.6828262565474101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9-4593-9DF1-74061DD460E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9-4593-9DF1-74061DD46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18720"/>
        <c:axId val="117521024"/>
      </c:scatterChart>
      <c:valAx>
        <c:axId val="1175187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521024"/>
        <c:crosses val="autoZero"/>
        <c:crossBetween val="midCat"/>
      </c:valAx>
      <c:valAx>
        <c:axId val="1175210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5187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'85'!$G$11:$G$24</c:f>
              <c:numCache>
                <c:formatCode>0.0</c:formatCode>
                <c:ptCount val="14"/>
                <c:pt idx="0">
                  <c:v>100</c:v>
                </c:pt>
                <c:pt idx="1">
                  <c:v>93.994855559952512</c:v>
                </c:pt>
                <c:pt idx="2">
                  <c:v>91.600712307083498</c:v>
                </c:pt>
                <c:pt idx="3">
                  <c:v>76.464186782746339</c:v>
                </c:pt>
                <c:pt idx="4">
                  <c:v>54.540957657301149</c:v>
                </c:pt>
                <c:pt idx="5">
                  <c:v>50.138504155124657</c:v>
                </c:pt>
                <c:pt idx="6">
                  <c:v>41.007123070834979</c:v>
                </c:pt>
                <c:pt idx="7">
                  <c:v>32.004352987732481</c:v>
                </c:pt>
                <c:pt idx="8">
                  <c:v>23.941432528690139</c:v>
                </c:pt>
                <c:pt idx="9">
                  <c:v>14.740799366838143</c:v>
                </c:pt>
                <c:pt idx="10">
                  <c:v>9.2995647012267462</c:v>
                </c:pt>
                <c:pt idx="11">
                  <c:v>5.4808072813612974</c:v>
                </c:pt>
                <c:pt idx="12">
                  <c:v>2.9976256430550037</c:v>
                </c:pt>
                <c:pt idx="13">
                  <c:v>2.0083102493074771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F-498B-A691-072D891C603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0F-498B-A691-072D891C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39968"/>
        <c:axId val="117557120"/>
      </c:scatterChart>
      <c:valAx>
        <c:axId val="1175399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557120"/>
        <c:crosses val="autoZero"/>
        <c:crossBetween val="midCat"/>
      </c:valAx>
      <c:valAx>
        <c:axId val="1175571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5399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'86'!$G$11:$G$24</c:f>
              <c:numCache>
                <c:formatCode>0.0</c:formatCode>
                <c:ptCount val="14"/>
                <c:pt idx="0">
                  <c:v>100</c:v>
                </c:pt>
                <c:pt idx="1">
                  <c:v>80.216417094764466</c:v>
                </c:pt>
                <c:pt idx="2">
                  <c:v>68.433708602033022</c:v>
                </c:pt>
                <c:pt idx="3">
                  <c:v>63.22002404634388</c:v>
                </c:pt>
                <c:pt idx="4">
                  <c:v>50.103836484861759</c:v>
                </c:pt>
                <c:pt idx="5">
                  <c:v>46.365723029839351</c:v>
                </c:pt>
                <c:pt idx="6">
                  <c:v>36.419280795715409</c:v>
                </c:pt>
                <c:pt idx="7">
                  <c:v>27.030276532954453</c:v>
                </c:pt>
                <c:pt idx="8">
                  <c:v>19.24800524647506</c:v>
                </c:pt>
                <c:pt idx="9">
                  <c:v>11.378292709585786</c:v>
                </c:pt>
                <c:pt idx="10">
                  <c:v>7.279484096622622</c:v>
                </c:pt>
                <c:pt idx="11">
                  <c:v>4.2518308011804997</c:v>
                </c:pt>
                <c:pt idx="12">
                  <c:v>2.1751011039458299</c:v>
                </c:pt>
                <c:pt idx="13">
                  <c:v>1.3662695376544285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9B-483C-870D-142055153FC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9B-483C-870D-14205515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96448"/>
        <c:axId val="117499008"/>
      </c:scatterChart>
      <c:valAx>
        <c:axId val="11749644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499008"/>
        <c:crosses val="autoZero"/>
        <c:crossBetween val="midCat"/>
      </c:valAx>
      <c:valAx>
        <c:axId val="1174990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49644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85.363177529076154</c:v>
                </c:pt>
                <c:pt idx="4">
                  <c:v>56.81369321922319</c:v>
                </c:pt>
                <c:pt idx="5">
                  <c:v>49.089313144612689</c:v>
                </c:pt>
                <c:pt idx="6">
                  <c:v>27.737546631555844</c:v>
                </c:pt>
                <c:pt idx="7">
                  <c:v>15.119596225586996</c:v>
                </c:pt>
                <c:pt idx="8">
                  <c:v>10.094360324775066</c:v>
                </c:pt>
                <c:pt idx="9">
                  <c:v>6.8246653500109602</c:v>
                </c:pt>
                <c:pt idx="10">
                  <c:v>5.2227342549923055</c:v>
                </c:pt>
                <c:pt idx="11">
                  <c:v>4.1694096993636123</c:v>
                </c:pt>
                <c:pt idx="12">
                  <c:v>3.5330261136712635</c:v>
                </c:pt>
                <c:pt idx="13">
                  <c:v>3.4013605442176709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D5-48CD-95E8-491AA736A24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D5-48CD-95E8-491AA736A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71648"/>
        <c:axId val="116609408"/>
      </c:scatterChart>
      <c:valAx>
        <c:axId val="11777164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609408"/>
        <c:crosses val="autoZero"/>
        <c:crossBetween val="midCat"/>
      </c:valAx>
      <c:valAx>
        <c:axId val="1166094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77164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89.659134431252397</c:v>
                </c:pt>
                <c:pt idx="3">
                  <c:v>77.658623771224313</c:v>
                </c:pt>
                <c:pt idx="4">
                  <c:v>46.533895059364248</c:v>
                </c:pt>
                <c:pt idx="5">
                  <c:v>41.197497765862387</c:v>
                </c:pt>
                <c:pt idx="6">
                  <c:v>28.584195072130736</c:v>
                </c:pt>
                <c:pt idx="7">
                  <c:v>18.319928507596074</c:v>
                </c:pt>
                <c:pt idx="8">
                  <c:v>13.13672922252012</c:v>
                </c:pt>
                <c:pt idx="9">
                  <c:v>9.9578705476828908</c:v>
                </c:pt>
                <c:pt idx="10">
                  <c:v>8.4258904634239862</c:v>
                </c:pt>
                <c:pt idx="11">
                  <c:v>6.6130473637176177</c:v>
                </c:pt>
                <c:pt idx="12">
                  <c:v>5.1831992850759683</c:v>
                </c:pt>
                <c:pt idx="13">
                  <c:v>4.5831737520745657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C-4818-A9BA-E9935A0E42E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C-4818-A9BA-E9935A0E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48960"/>
        <c:axId val="117786880"/>
      </c:scatterChart>
      <c:valAx>
        <c:axId val="1166489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786880"/>
        <c:crosses val="autoZero"/>
        <c:crossBetween val="midCat"/>
      </c:valAx>
      <c:valAx>
        <c:axId val="1177868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66489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'89'!$B$11:$B$24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'89'!$G$11:$G$24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90.604803704060956</c:v>
                </c:pt>
                <c:pt idx="3">
                  <c:v>63.171602199286184</c:v>
                </c:pt>
                <c:pt idx="4">
                  <c:v>39.104851934021397</c:v>
                </c:pt>
                <c:pt idx="5">
                  <c:v>35.593710813157116</c:v>
                </c:pt>
                <c:pt idx="6">
                  <c:v>26.50718626410724</c:v>
                </c:pt>
                <c:pt idx="7">
                  <c:v>17.507475643869945</c:v>
                </c:pt>
                <c:pt idx="8">
                  <c:v>11.83563229478149</c:v>
                </c:pt>
                <c:pt idx="9">
                  <c:v>7.7553776405903054</c:v>
                </c:pt>
                <c:pt idx="10">
                  <c:v>5.5753834281855621</c:v>
                </c:pt>
                <c:pt idx="11">
                  <c:v>3.4146811999613913</c:v>
                </c:pt>
                <c:pt idx="12">
                  <c:v>1.9291984180572688</c:v>
                </c:pt>
                <c:pt idx="13">
                  <c:v>1.4661907977235162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F-41E6-8546-055D8EAD56C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'89'!$Q$4:$Q$12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'89'!$S$4:$S$12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EF-41E6-8546-055D8EAD5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155712"/>
        <c:axId val="117172864"/>
      </c:scatterChart>
      <c:valAx>
        <c:axId val="1171557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172864"/>
        <c:crosses val="autoZero"/>
        <c:crossBetween val="midCat"/>
      </c:valAx>
      <c:valAx>
        <c:axId val="1171728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71557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'90'!$G$11:$G$24</c:f>
              <c:numCache>
                <c:formatCode>0.0</c:formatCode>
                <c:ptCount val="14"/>
                <c:pt idx="0">
                  <c:v>100</c:v>
                </c:pt>
                <c:pt idx="1">
                  <c:v>86.796158882584024</c:v>
                </c:pt>
                <c:pt idx="2">
                  <c:v>84.11174159755565</c:v>
                </c:pt>
                <c:pt idx="3">
                  <c:v>73.024879965080743</c:v>
                </c:pt>
                <c:pt idx="4">
                  <c:v>49.378000872981218</c:v>
                </c:pt>
                <c:pt idx="5">
                  <c:v>45.242252291575717</c:v>
                </c:pt>
                <c:pt idx="6">
                  <c:v>36.348756001745947</c:v>
                </c:pt>
                <c:pt idx="7">
                  <c:v>25.687472719336519</c:v>
                </c:pt>
                <c:pt idx="8">
                  <c:v>19.194674814491471</c:v>
                </c:pt>
                <c:pt idx="9">
                  <c:v>13.171104321257076</c:v>
                </c:pt>
                <c:pt idx="10">
                  <c:v>9.5045831514622297</c:v>
                </c:pt>
                <c:pt idx="11">
                  <c:v>6.2745525971191514</c:v>
                </c:pt>
                <c:pt idx="12">
                  <c:v>5.2160628546486096</c:v>
                </c:pt>
                <c:pt idx="13">
                  <c:v>1.7241379310344671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A-4411-AA41-AA6F935C67D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A-4411-AA41-AA6F935C6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38240"/>
        <c:axId val="118540544"/>
      </c:scatterChart>
      <c:valAx>
        <c:axId val="1185382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8540544"/>
        <c:crosses val="autoZero"/>
        <c:crossBetween val="midCat"/>
      </c:valAx>
      <c:valAx>
        <c:axId val="1185405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85382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90.012610340479199</c:v>
                </c:pt>
                <c:pt idx="3">
                  <c:v>79.016393442622956</c:v>
                </c:pt>
                <c:pt idx="4">
                  <c:v>55.132408575031533</c:v>
                </c:pt>
                <c:pt idx="5">
                  <c:v>48.650693568726368</c:v>
                </c:pt>
                <c:pt idx="6">
                  <c:v>35.561160151324088</c:v>
                </c:pt>
                <c:pt idx="7">
                  <c:v>22.01765447667087</c:v>
                </c:pt>
                <c:pt idx="8">
                  <c:v>14.930643127364441</c:v>
                </c:pt>
                <c:pt idx="9">
                  <c:v>9.7856242118537189</c:v>
                </c:pt>
                <c:pt idx="10">
                  <c:v>6.8221941992433788</c:v>
                </c:pt>
                <c:pt idx="11">
                  <c:v>4.3379571248423714</c:v>
                </c:pt>
                <c:pt idx="12">
                  <c:v>2.2824716267339209</c:v>
                </c:pt>
                <c:pt idx="13">
                  <c:v>1.8032786885245877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C-41AE-9713-39B17228188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'91'!$Q$4:$Q$12</c:f>
              <c:numCache>
                <c:formatCode>General</c:formatCode>
                <c:ptCount val="9"/>
              </c:numCache>
            </c:numRef>
          </c:xVal>
          <c:yVal>
            <c:numRef>
              <c:f>'91'!$S$4:$S$12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CC-41AE-9713-39B172281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553600"/>
        <c:axId val="119109120"/>
      </c:scatterChart>
      <c:valAx>
        <c:axId val="1185536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19109120"/>
        <c:crosses val="autoZero"/>
        <c:crossBetween val="midCat"/>
      </c:valAx>
      <c:valAx>
        <c:axId val="1191091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185536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'92'!$G$11:$G$24</c:f>
              <c:numCache>
                <c:formatCode>0.0</c:formatCode>
                <c:ptCount val="14"/>
                <c:pt idx="0">
                  <c:v>100</c:v>
                </c:pt>
                <c:pt idx="1">
                  <c:v>93.190179442901126</c:v>
                </c:pt>
                <c:pt idx="2">
                  <c:v>85.156543284030334</c:v>
                </c:pt>
                <c:pt idx="3">
                  <c:v>80.23875666341317</c:v>
                </c:pt>
                <c:pt idx="4">
                  <c:v>58.285156543284032</c:v>
                </c:pt>
                <c:pt idx="5">
                  <c:v>53.074555146782792</c:v>
                </c:pt>
                <c:pt idx="6">
                  <c:v>38.726631128463097</c:v>
                </c:pt>
                <c:pt idx="7">
                  <c:v>22.366544034837446</c:v>
                </c:pt>
                <c:pt idx="8">
                  <c:v>15.579247691268112</c:v>
                </c:pt>
                <c:pt idx="9">
                  <c:v>10.646444928297921</c:v>
                </c:pt>
                <c:pt idx="10">
                  <c:v>7.9210150912230652</c:v>
                </c:pt>
                <c:pt idx="11">
                  <c:v>4.549891132967943</c:v>
                </c:pt>
                <c:pt idx="12">
                  <c:v>4.1669795029656891</c:v>
                </c:pt>
                <c:pt idx="13">
                  <c:v>1.4490577370673492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39-4130-BE32-59ECBF9031C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39-4130-BE32-59ECBF903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90112"/>
        <c:axId val="119300864"/>
      </c:scatterChart>
      <c:valAx>
        <c:axId val="1192901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300864"/>
        <c:crosses val="autoZero"/>
        <c:crossBetween val="midCat"/>
      </c:valAx>
      <c:valAx>
        <c:axId val="1193008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2901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'93'!$G$11:$G$24</c:f>
              <c:numCache>
                <c:formatCode>0.0</c:formatCode>
                <c:ptCount val="14"/>
                <c:pt idx="0">
                  <c:v>100</c:v>
                </c:pt>
                <c:pt idx="1">
                  <c:v>93.164149763202573</c:v>
                </c:pt>
                <c:pt idx="2">
                  <c:v>77.571262621749611</c:v>
                </c:pt>
                <c:pt idx="3">
                  <c:v>75.641140201947991</c:v>
                </c:pt>
                <c:pt idx="4">
                  <c:v>50.344026449825748</c:v>
                </c:pt>
                <c:pt idx="5">
                  <c:v>44.955768027879536</c:v>
                </c:pt>
                <c:pt idx="6">
                  <c:v>31.721919399517454</c:v>
                </c:pt>
                <c:pt idx="7">
                  <c:v>18.318291484228375</c:v>
                </c:pt>
                <c:pt idx="8">
                  <c:v>11.66115628630147</c:v>
                </c:pt>
                <c:pt idx="9">
                  <c:v>6.9877580198373455</c:v>
                </c:pt>
                <c:pt idx="10">
                  <c:v>4.5214904834241594</c:v>
                </c:pt>
                <c:pt idx="11">
                  <c:v>2.6003038155660589</c:v>
                </c:pt>
                <c:pt idx="12">
                  <c:v>1.2063265123759932</c:v>
                </c:pt>
                <c:pt idx="13">
                  <c:v>0.93825395407021173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2-4D63-833C-FB22057667A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2-4D63-833C-FB2205766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26976"/>
        <c:axId val="119009664"/>
      </c:scatterChart>
      <c:valAx>
        <c:axId val="1193269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009664"/>
        <c:crosses val="autoZero"/>
        <c:crossBetween val="midCat"/>
      </c:valAx>
      <c:valAx>
        <c:axId val="1190096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3269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83.085075909481532</c:v>
                </c:pt>
                <c:pt idx="3">
                  <c:v>66.65711830421084</c:v>
                </c:pt>
                <c:pt idx="4">
                  <c:v>55.657404755084514</c:v>
                </c:pt>
                <c:pt idx="5">
                  <c:v>53.093669435691794</c:v>
                </c:pt>
                <c:pt idx="6">
                  <c:v>48.768261243196804</c:v>
                </c:pt>
                <c:pt idx="7">
                  <c:v>41.621311945001437</c:v>
                </c:pt>
                <c:pt idx="8">
                  <c:v>33.400171870524218</c:v>
                </c:pt>
                <c:pt idx="9">
                  <c:v>23.9759381266113</c:v>
                </c:pt>
                <c:pt idx="10">
                  <c:v>18.017759954167879</c:v>
                </c:pt>
                <c:pt idx="11">
                  <c:v>11.257519335433994</c:v>
                </c:pt>
                <c:pt idx="12">
                  <c:v>4.0532798625036017</c:v>
                </c:pt>
                <c:pt idx="13">
                  <c:v>1.8762532225723523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D-425C-BAD1-5CCBFC6392D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9D-425C-BAD1-5CCBFC639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23456"/>
        <c:axId val="119925760"/>
      </c:scatterChart>
      <c:valAx>
        <c:axId val="1199234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925760"/>
        <c:crosses val="autoZero"/>
        <c:crossBetween val="midCat"/>
      </c:valAx>
      <c:valAx>
        <c:axId val="11992576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9234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'95'!$G$11:$G$24</c:f>
              <c:numCache>
                <c:formatCode>0.0</c:formatCode>
                <c:ptCount val="14"/>
                <c:pt idx="0">
                  <c:v>100</c:v>
                </c:pt>
                <c:pt idx="1">
                  <c:v>74.083073007057735</c:v>
                </c:pt>
                <c:pt idx="2">
                  <c:v>66.099733888696051</c:v>
                </c:pt>
                <c:pt idx="3">
                  <c:v>57.896563693162094</c:v>
                </c:pt>
                <c:pt idx="4">
                  <c:v>50.804118940182803</c:v>
                </c:pt>
                <c:pt idx="5">
                  <c:v>49.357861853523076</c:v>
                </c:pt>
                <c:pt idx="6">
                  <c:v>46.002545412472514</c:v>
                </c:pt>
                <c:pt idx="7">
                  <c:v>40.310077519379838</c:v>
                </c:pt>
                <c:pt idx="8">
                  <c:v>32.743260441976162</c:v>
                </c:pt>
                <c:pt idx="9">
                  <c:v>23.440934860580811</c:v>
                </c:pt>
                <c:pt idx="10">
                  <c:v>17.424505380076358</c:v>
                </c:pt>
                <c:pt idx="11">
                  <c:v>10.366770797176903</c:v>
                </c:pt>
                <c:pt idx="12">
                  <c:v>6.0627097072775573</c:v>
                </c:pt>
                <c:pt idx="13">
                  <c:v>4.7900034710170001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F-490C-A218-3B384375E63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7F-490C-A218-3B384375E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9312"/>
        <c:axId val="118671616"/>
      </c:scatterChart>
      <c:valAx>
        <c:axId val="1186693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8671616"/>
        <c:crosses val="autoZero"/>
        <c:crossBetween val="midCat"/>
      </c:valAx>
      <c:valAx>
        <c:axId val="11867161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86693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92.272874232137085</c:v>
                </c:pt>
                <c:pt idx="3">
                  <c:v>78.122642526134285</c:v>
                </c:pt>
                <c:pt idx="4">
                  <c:v>55.544778532169417</c:v>
                </c:pt>
                <c:pt idx="5">
                  <c:v>52.182347235693499</c:v>
                </c:pt>
                <c:pt idx="6">
                  <c:v>43.032654380859995</c:v>
                </c:pt>
                <c:pt idx="7">
                  <c:v>34.540359952581085</c:v>
                </c:pt>
                <c:pt idx="8">
                  <c:v>29.10874016596615</c:v>
                </c:pt>
                <c:pt idx="9">
                  <c:v>21.920465567410275</c:v>
                </c:pt>
                <c:pt idx="10">
                  <c:v>13.988576355210688</c:v>
                </c:pt>
                <c:pt idx="11">
                  <c:v>8.4491863347343461</c:v>
                </c:pt>
                <c:pt idx="12">
                  <c:v>4.8712145705356127</c:v>
                </c:pt>
                <c:pt idx="13">
                  <c:v>4.0306067464166331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00-48B3-9607-E9001255415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'96'!$S$4:$S$12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00-48B3-9607-E9001255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8400"/>
        <c:axId val="119621120"/>
      </c:scatterChart>
      <c:valAx>
        <c:axId val="1187584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621120"/>
        <c:crosses val="autoZero"/>
        <c:crossBetween val="midCat"/>
      </c:valAx>
      <c:valAx>
        <c:axId val="1196211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87584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97.459349593495929</c:v>
                </c:pt>
                <c:pt idx="4">
                  <c:v>96.290650406504056</c:v>
                </c:pt>
                <c:pt idx="5">
                  <c:v>96.290650406504056</c:v>
                </c:pt>
                <c:pt idx="6">
                  <c:v>95.198170731707293</c:v>
                </c:pt>
                <c:pt idx="7">
                  <c:v>93.318089430894275</c:v>
                </c:pt>
                <c:pt idx="8">
                  <c:v>87.576219512195095</c:v>
                </c:pt>
                <c:pt idx="9">
                  <c:v>70.42682926829265</c:v>
                </c:pt>
                <c:pt idx="10">
                  <c:v>47.383130081300777</c:v>
                </c:pt>
                <c:pt idx="11">
                  <c:v>23.551829268292657</c:v>
                </c:pt>
                <c:pt idx="12">
                  <c:v>21.036585365853625</c:v>
                </c:pt>
                <c:pt idx="13">
                  <c:v>16.209349593495901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8-428A-8C1C-EF36A1B05573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'97'!$Q$4:$Q$12</c:f>
              <c:numCache>
                <c:formatCode>0.0000</c:formatCode>
                <c:ptCount val="9"/>
                <c:pt idx="0">
                  <c:v>7.8035347933194499E-2</c:v>
                </c:pt>
                <c:pt idx="1">
                  <c:v>5.5534927998329299E-2</c:v>
                </c:pt>
                <c:pt idx="2">
                  <c:v>4.0013995180039612E-2</c:v>
                </c:pt>
                <c:pt idx="3">
                  <c:v>2.592188834767099E-2</c:v>
                </c:pt>
                <c:pt idx="4">
                  <c:v>1.5312747052819991E-2</c:v>
                </c:pt>
                <c:pt idx="5">
                  <c:v>8.988034919716021E-3</c:v>
                </c:pt>
                <c:pt idx="6">
                  <c:v>5.563314102085876E-3</c:v>
                </c:pt>
                <c:pt idx="7">
                  <c:v>3.2458505923035784E-3</c:v>
                </c:pt>
                <c:pt idx="8">
                  <c:v>1.6313267965262362E-3</c:v>
                </c:pt>
              </c:numCache>
            </c:numRef>
          </c:xVal>
          <c:yVal>
            <c:numRef>
              <c:f>'97'!$S$4:$S$12</c:f>
              <c:numCache>
                <c:formatCode>0.0</c:formatCode>
                <c:ptCount val="9"/>
                <c:pt idx="0">
                  <c:v>13.575225449993226</c:v>
                </c:pt>
                <c:pt idx="1">
                  <c:v>12.974551757515716</c:v>
                </c:pt>
                <c:pt idx="2">
                  <c:v>11.172530680082909</c:v>
                </c:pt>
                <c:pt idx="3">
                  <c:v>8.769835910172592</c:v>
                </c:pt>
                <c:pt idx="4">
                  <c:v>6.367141140262274</c:v>
                </c:pt>
                <c:pt idx="5">
                  <c:v>4.5651200628294699</c:v>
                </c:pt>
                <c:pt idx="6">
                  <c:v>3.3637726778744441</c:v>
                </c:pt>
                <c:pt idx="7">
                  <c:v>2.1624252929191523</c:v>
                </c:pt>
                <c:pt idx="8">
                  <c:v>1.5617516004416399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B8-428A-8C1C-EF36A1B05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61312"/>
        <c:axId val="120447744"/>
      </c:scatterChart>
      <c:valAx>
        <c:axId val="1196613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447744"/>
        <c:crosses val="autoZero"/>
        <c:crossBetween val="midCat"/>
      </c:valAx>
      <c:valAx>
        <c:axId val="1204477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6613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99.605652316792629</c:v>
                </c:pt>
                <c:pt idx="6">
                  <c:v>98.488333881038415</c:v>
                </c:pt>
                <c:pt idx="7">
                  <c:v>96.089385474860293</c:v>
                </c:pt>
                <c:pt idx="8">
                  <c:v>89.845547157410408</c:v>
                </c:pt>
                <c:pt idx="9">
                  <c:v>67.794939204732131</c:v>
                </c:pt>
                <c:pt idx="10">
                  <c:v>39.336181399934262</c:v>
                </c:pt>
                <c:pt idx="11">
                  <c:v>10.976010515938235</c:v>
                </c:pt>
                <c:pt idx="12">
                  <c:v>6.6381860006572495</c:v>
                </c:pt>
                <c:pt idx="13">
                  <c:v>6.210976010515938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D-46C2-8C92-463089B1519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'98'!$Q$4:$Q$12</c:f>
              <c:numCache>
                <c:formatCode>General</c:formatCode>
                <c:ptCount val="9"/>
              </c:numCache>
            </c:numRef>
          </c:xVal>
          <c:yVal>
            <c:numRef>
              <c:f>'98'!$S$4:$S$12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6D-46C2-8C92-463089B15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8720"/>
        <c:axId val="119533568"/>
      </c:scatterChart>
      <c:valAx>
        <c:axId val="1195187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19533568"/>
        <c:crosses val="autoZero"/>
        <c:crossBetween val="midCat"/>
      </c:valAx>
      <c:valAx>
        <c:axId val="1195335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195187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'99'!$B$11:$B$24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'99'!$G$11:$G$24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97.682627378759975</c:v>
                </c:pt>
                <c:pt idx="4">
                  <c:v>95.963781461019025</c:v>
                </c:pt>
                <c:pt idx="5">
                  <c:v>95.672191528545113</c:v>
                </c:pt>
                <c:pt idx="6">
                  <c:v>95.365254757519949</c:v>
                </c:pt>
                <c:pt idx="7">
                  <c:v>94.966236955187227</c:v>
                </c:pt>
                <c:pt idx="8">
                  <c:v>94.260282381829342</c:v>
                </c:pt>
                <c:pt idx="9">
                  <c:v>92.771639042357279</c:v>
                </c:pt>
                <c:pt idx="10">
                  <c:v>90.162676488643342</c:v>
                </c:pt>
                <c:pt idx="11">
                  <c:v>80.033763044812773</c:v>
                </c:pt>
                <c:pt idx="12">
                  <c:v>72.713321055862494</c:v>
                </c:pt>
                <c:pt idx="13">
                  <c:v>68.554327808471456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7C-48D1-A17D-CCCBAACF6B28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'99'!$Q$4:$Q$12</c:f>
              <c:numCache>
                <c:formatCode>0.0000</c:formatCode>
                <c:ptCount val="9"/>
                <c:pt idx="0">
                  <c:v>7.0197633382932959E-2</c:v>
                </c:pt>
                <c:pt idx="1">
                  <c:v>5.1962261804082623E-2</c:v>
                </c:pt>
                <c:pt idx="2">
                  <c:v>3.7537901143729853E-2</c:v>
                </c:pt>
                <c:pt idx="3">
                  <c:v>2.5806991610152912E-2</c:v>
                </c:pt>
                <c:pt idx="4">
                  <c:v>1.5074802394143383E-2</c:v>
                </c:pt>
                <c:pt idx="5">
                  <c:v>8.8529422618119358E-3</c:v>
                </c:pt>
                <c:pt idx="6">
                  <c:v>7.2258666936885927E-3</c:v>
                </c:pt>
                <c:pt idx="7">
                  <c:v>4.2171636463689249E-3</c:v>
                </c:pt>
                <c:pt idx="8">
                  <c:v>2.1162583303038487E-3</c:v>
                </c:pt>
              </c:numCache>
            </c:numRef>
          </c:xVal>
          <c:yVal>
            <c:numRef>
              <c:f>'99'!$S$4:$S$12</c:f>
              <c:numCache>
                <c:formatCode>0.0</c:formatCode>
                <c:ptCount val="9"/>
                <c:pt idx="0">
                  <c:v>56.445853095794241</c:v>
                </c:pt>
                <c:pt idx="1">
                  <c:v>47.448108181480265</c:v>
                </c:pt>
                <c:pt idx="2">
                  <c:v>42.94923572432328</c:v>
                </c:pt>
                <c:pt idx="3">
                  <c:v>23.454121743310552</c:v>
                </c:pt>
                <c:pt idx="4">
                  <c:v>20.454873438539675</c:v>
                </c:pt>
                <c:pt idx="5">
                  <c:v>15.956000981382688</c:v>
                </c:pt>
                <c:pt idx="6">
                  <c:v>13.496617371469961</c:v>
                </c:pt>
                <c:pt idx="7">
                  <c:v>10.497369066699079</c:v>
                </c:pt>
                <c:pt idx="8">
                  <c:v>9.2976697447907615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7C-48D1-A17D-CCCBAACF6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37440"/>
        <c:axId val="119839744"/>
      </c:scatterChart>
      <c:valAx>
        <c:axId val="1198374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839744"/>
        <c:crosses val="autoZero"/>
        <c:crossBetween val="midCat"/>
      </c:valAx>
      <c:valAx>
        <c:axId val="1198397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198374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93.712358467839081</c:v>
                </c:pt>
                <c:pt idx="3">
                  <c:v>93.712358467839081</c:v>
                </c:pt>
                <c:pt idx="4">
                  <c:v>87.087448807516267</c:v>
                </c:pt>
                <c:pt idx="5">
                  <c:v>85.208383522042865</c:v>
                </c:pt>
                <c:pt idx="6">
                  <c:v>82.437966754998783</c:v>
                </c:pt>
                <c:pt idx="7">
                  <c:v>79.426644182124761</c:v>
                </c:pt>
                <c:pt idx="8">
                  <c:v>77.1862201879065</c:v>
                </c:pt>
                <c:pt idx="9">
                  <c:v>74.05444471211753</c:v>
                </c:pt>
                <c:pt idx="10">
                  <c:v>68.320886533365424</c:v>
                </c:pt>
                <c:pt idx="11">
                  <c:v>51.120211997109109</c:v>
                </c:pt>
                <c:pt idx="12">
                  <c:v>39.436280414357967</c:v>
                </c:pt>
                <c:pt idx="13">
                  <c:v>30.956396049144772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F-442D-80A9-2E7DCD381CB7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'100'!$Q$4:$Q$12</c:f>
              <c:numCache>
                <c:formatCode>0.0000</c:formatCode>
                <c:ptCount val="9"/>
                <c:pt idx="0">
                  <c:v>7.5598392956532673E-2</c:v>
                </c:pt>
                <c:pt idx="1">
                  <c:v>5.5266724437644778E-2</c:v>
                </c:pt>
                <c:pt idx="2">
                  <c:v>3.9827893635135968E-2</c:v>
                </c:pt>
                <c:pt idx="3">
                  <c:v>2.5959100693532536E-2</c:v>
                </c:pt>
                <c:pt idx="4">
                  <c:v>1.5333745793932005E-2</c:v>
                </c:pt>
                <c:pt idx="5">
                  <c:v>8.9512225479086872E-3</c:v>
                </c:pt>
                <c:pt idx="6">
                  <c:v>5.5113275728650877E-3</c:v>
                </c:pt>
                <c:pt idx="7">
                  <c:v>3.1991050215919989E-3</c:v>
                </c:pt>
                <c:pt idx="8">
                  <c:v>1.5877489772083101E-3</c:v>
                </c:pt>
              </c:numCache>
            </c:numRef>
          </c:xVal>
          <c:yVal>
            <c:numRef>
              <c:f>'100'!$S$4:$S$12</c:f>
              <c:numCache>
                <c:formatCode>0.0</c:formatCode>
                <c:ptCount val="9"/>
                <c:pt idx="0">
                  <c:v>21.91332817508621</c:v>
                </c:pt>
                <c:pt idx="1">
                  <c:v>17.943522346266302</c:v>
                </c:pt>
                <c:pt idx="2">
                  <c:v>15.561638848974216</c:v>
                </c:pt>
                <c:pt idx="3">
                  <c:v>11.591833020154306</c:v>
                </c:pt>
                <c:pt idx="4">
                  <c:v>8.4159883570983069</c:v>
                </c:pt>
                <c:pt idx="5">
                  <c:v>6.8280660255701315</c:v>
                </c:pt>
                <c:pt idx="6">
                  <c:v>6.034104859806221</c:v>
                </c:pt>
                <c:pt idx="7">
                  <c:v>5.2401436940423087</c:v>
                </c:pt>
                <c:pt idx="8">
                  <c:v>4.7637669945839978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F-442D-80A9-2E7DCD381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79040"/>
        <c:axId val="120281344"/>
      </c:scatterChart>
      <c:valAx>
        <c:axId val="1202790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281344"/>
        <c:crosses val="autoZero"/>
        <c:crossBetween val="midCat"/>
      </c:valAx>
      <c:valAx>
        <c:axId val="1202813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2790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09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99.219800914716174</c:v>
                </c:pt>
                <c:pt idx="6">
                  <c:v>99.139090664514384</c:v>
                </c:pt>
                <c:pt idx="7">
                  <c:v>99.004573580844763</c:v>
                </c:pt>
                <c:pt idx="8">
                  <c:v>98.870056497175142</c:v>
                </c:pt>
                <c:pt idx="9">
                  <c:v>98.627925746569801</c:v>
                </c:pt>
                <c:pt idx="10">
                  <c:v>97.497982243744943</c:v>
                </c:pt>
                <c:pt idx="11">
                  <c:v>78.477266612859836</c:v>
                </c:pt>
                <c:pt idx="12">
                  <c:v>60.963142319074521</c:v>
                </c:pt>
                <c:pt idx="13">
                  <c:v>48.587570621468927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F4-48EB-BD22-26AE70C46A5C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'101'!$Q$4:$Q$12</c:f>
              <c:numCache>
                <c:formatCode>0.0000</c:formatCode>
                <c:ptCount val="9"/>
                <c:pt idx="0">
                  <c:v>7.1310515280523942E-2</c:v>
                </c:pt>
                <c:pt idx="1">
                  <c:v>5.1198981662641217E-2</c:v>
                </c:pt>
                <c:pt idx="2">
                  <c:v>3.7009776519511151E-2</c:v>
                </c:pt>
                <c:pt idx="3">
                  <c:v>2.4395368009366081E-2</c:v>
                </c:pt>
                <c:pt idx="4">
                  <c:v>1.463305091696116E-2</c:v>
                </c:pt>
                <c:pt idx="5">
                  <c:v>8.7034412202390971E-3</c:v>
                </c:pt>
                <c:pt idx="6">
                  <c:v>5.4514729396025049E-3</c:v>
                </c:pt>
                <c:pt idx="7">
                  <c:v>3.1991050215919989E-3</c:v>
                </c:pt>
                <c:pt idx="8">
                  <c:v>1.6165548042501277E-3</c:v>
                </c:pt>
              </c:numCache>
            </c:numRef>
          </c:xVal>
          <c:yVal>
            <c:numRef>
              <c:f>'101'!$S$4:$S$12</c:f>
              <c:numCache>
                <c:formatCode>0.0</c:formatCode>
                <c:ptCount val="9"/>
                <c:pt idx="0">
                  <c:v>42.348035961098986</c:v>
                </c:pt>
                <c:pt idx="1">
                  <c:v>39.968932817217272</c:v>
                </c:pt>
                <c:pt idx="2">
                  <c:v>36.400278101394164</c:v>
                </c:pt>
                <c:pt idx="3">
                  <c:v>29.262968669747963</c:v>
                </c:pt>
                <c:pt idx="4">
                  <c:v>22.125659238102287</c:v>
                </c:pt>
                <c:pt idx="5">
                  <c:v>16.177901378397465</c:v>
                </c:pt>
                <c:pt idx="6">
                  <c:v>11.419695090633507</c:v>
                </c:pt>
                <c:pt idx="7">
                  <c:v>7.8510403748104025</c:v>
                </c:pt>
                <c:pt idx="8">
                  <c:v>5.4719372309281589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F4-48EB-BD22-26AE70C46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012800"/>
        <c:axId val="120014720"/>
      </c:scatterChart>
      <c:valAx>
        <c:axId val="1200128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014720"/>
        <c:crosses val="autoZero"/>
        <c:crossBetween val="midCat"/>
      </c:valAx>
      <c:valAx>
        <c:axId val="1200147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0128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89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96.361679224973088</c:v>
                </c:pt>
                <c:pt idx="3">
                  <c:v>92.012917115177615</c:v>
                </c:pt>
                <c:pt idx="4">
                  <c:v>79.138858988159313</c:v>
                </c:pt>
                <c:pt idx="5">
                  <c:v>77.890204520990295</c:v>
                </c:pt>
                <c:pt idx="6">
                  <c:v>73.692142088266934</c:v>
                </c:pt>
                <c:pt idx="7">
                  <c:v>68.740581270182957</c:v>
                </c:pt>
                <c:pt idx="8">
                  <c:v>65.511302475780369</c:v>
                </c:pt>
                <c:pt idx="9">
                  <c:v>62.454251883745926</c:v>
                </c:pt>
                <c:pt idx="10">
                  <c:v>50.721205597416542</c:v>
                </c:pt>
                <c:pt idx="11">
                  <c:v>40.043057050592012</c:v>
                </c:pt>
                <c:pt idx="12">
                  <c:v>30.398277717976292</c:v>
                </c:pt>
                <c:pt idx="13">
                  <c:v>25.984930032292763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F3-45D1-9879-F0DBE6A73487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'102'!$Q$4:$Q$12</c:f>
              <c:numCache>
                <c:formatCode>0.0000</c:formatCode>
                <c:ptCount val="9"/>
                <c:pt idx="0">
                  <c:v>7.0409102962227937E-2</c:v>
                </c:pt>
                <c:pt idx="1">
                  <c:v>5.0170731581362024E-2</c:v>
                </c:pt>
                <c:pt idx="2">
                  <c:v>3.7577610667120648E-2</c:v>
                </c:pt>
                <c:pt idx="3">
                  <c:v>2.5329697279131966E-2</c:v>
                </c:pt>
                <c:pt idx="4">
                  <c:v>1.4884246870592565E-2</c:v>
                </c:pt>
                <c:pt idx="5">
                  <c:v>8.789688078546418E-3</c:v>
                </c:pt>
                <c:pt idx="6">
                  <c:v>5.4121923782886189E-3</c:v>
                </c:pt>
                <c:pt idx="7">
                  <c:v>3.158666207447387E-3</c:v>
                </c:pt>
                <c:pt idx="8">
                  <c:v>1.6080761284743225E-3</c:v>
                </c:pt>
              </c:numCache>
            </c:numRef>
          </c:xVal>
          <c:yVal>
            <c:numRef>
              <c:f>'102'!$S$4:$S$12</c:f>
              <c:numCache>
                <c:formatCode>0.0</c:formatCode>
                <c:ptCount val="9"/>
                <c:pt idx="0">
                  <c:v>22.749869914291761</c:v>
                </c:pt>
                <c:pt idx="1">
                  <c:v>22.117929083339281</c:v>
                </c:pt>
                <c:pt idx="2">
                  <c:v>17.062402435718859</c:v>
                </c:pt>
                <c:pt idx="3">
                  <c:v>10.742994126193185</c:v>
                </c:pt>
                <c:pt idx="4">
                  <c:v>8.8471716333357389</c:v>
                </c:pt>
                <c:pt idx="5">
                  <c:v>6.319408309525528</c:v>
                </c:pt>
                <c:pt idx="6">
                  <c:v>5.6874674785727644</c:v>
                </c:pt>
                <c:pt idx="7">
                  <c:v>4.4235858166677993</c:v>
                </c:pt>
                <c:pt idx="8">
                  <c:v>3.5388686533342959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F3-45D1-9879-F0DBE6A73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08800"/>
        <c:axId val="120128256"/>
      </c:scatterChart>
      <c:valAx>
        <c:axId val="1209088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128256"/>
        <c:crosses val="autoZero"/>
        <c:crossBetween val="midCat"/>
      </c:valAx>
      <c:valAx>
        <c:axId val="1201282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9088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90.284409383433669</c:v>
                </c:pt>
                <c:pt idx="3">
                  <c:v>83.495951837243098</c:v>
                </c:pt>
                <c:pt idx="4">
                  <c:v>56.923396304753993</c:v>
                </c:pt>
                <c:pt idx="5">
                  <c:v>50.820012455885404</c:v>
                </c:pt>
                <c:pt idx="6">
                  <c:v>40.564666805065372</c:v>
                </c:pt>
                <c:pt idx="7">
                  <c:v>29.956404401079496</c:v>
                </c:pt>
                <c:pt idx="8">
                  <c:v>25.077849283786577</c:v>
                </c:pt>
                <c:pt idx="9">
                  <c:v>21.38260328004981</c:v>
                </c:pt>
                <c:pt idx="10">
                  <c:v>13.244758148225026</c:v>
                </c:pt>
                <c:pt idx="11">
                  <c:v>6.2694623209466434</c:v>
                </c:pt>
                <c:pt idx="12">
                  <c:v>4.4010795100685032</c:v>
                </c:pt>
                <c:pt idx="13">
                  <c:v>3.6744861947270042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55-4CA0-AB60-08097186E08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'103'!$S$4:$S$12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55-4CA0-AB60-08097186E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152064"/>
        <c:axId val="123834368"/>
      </c:scatterChart>
      <c:valAx>
        <c:axId val="1201520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3834368"/>
        <c:crosses val="autoZero"/>
        <c:crossBetween val="midCat"/>
      </c:valAx>
      <c:valAx>
        <c:axId val="1238343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1520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91.713341950308774</c:v>
                </c:pt>
                <c:pt idx="3">
                  <c:v>85.537842883814449</c:v>
                </c:pt>
                <c:pt idx="4">
                  <c:v>76.978313945138595</c:v>
                </c:pt>
                <c:pt idx="5">
                  <c:v>75.771937383311794</c:v>
                </c:pt>
                <c:pt idx="6">
                  <c:v>71.994829814735027</c:v>
                </c:pt>
                <c:pt idx="7">
                  <c:v>68.318253626310508</c:v>
                </c:pt>
                <c:pt idx="8">
                  <c:v>64.842740198190441</c:v>
                </c:pt>
                <c:pt idx="9">
                  <c:v>60.491167600172346</c:v>
                </c:pt>
                <c:pt idx="10">
                  <c:v>54.732155680022991</c:v>
                </c:pt>
                <c:pt idx="11">
                  <c:v>41.806692517593007</c:v>
                </c:pt>
                <c:pt idx="12">
                  <c:v>37.440758293838876</c:v>
                </c:pt>
                <c:pt idx="13">
                  <c:v>36.88065489013357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5-4B4E-BC6F-95AC5400A6F4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'104'!$Q$4:$Q$12</c:f>
              <c:numCache>
                <c:formatCode>0.0000</c:formatCode>
                <c:ptCount val="9"/>
                <c:pt idx="0">
                  <c:v>8.2089884201219418E-2</c:v>
                </c:pt>
                <c:pt idx="1">
                  <c:v>5.9387342094876686E-2</c:v>
                </c:pt>
                <c:pt idx="2">
                  <c:v>4.222692781476179E-2</c:v>
                </c:pt>
                <c:pt idx="3">
                  <c:v>2.6853667643726063E-2</c:v>
                </c:pt>
                <c:pt idx="4">
                  <c:v>1.55883884004532E-2</c:v>
                </c:pt>
                <c:pt idx="5">
                  <c:v>9.0484354179825553E-3</c:v>
                </c:pt>
                <c:pt idx="6">
                  <c:v>5.5705391139123676E-3</c:v>
                </c:pt>
                <c:pt idx="7">
                  <c:v>3.2667602516833422E-3</c:v>
                </c:pt>
                <c:pt idx="8">
                  <c:v>1.6417281247727215E-3</c:v>
                </c:pt>
              </c:numCache>
            </c:numRef>
          </c:xVal>
          <c:yVal>
            <c:numRef>
              <c:f>'104'!$S$4:$S$12</c:f>
              <c:numCache>
                <c:formatCode>0.0</c:formatCode>
                <c:ptCount val="9"/>
                <c:pt idx="0">
                  <c:v>31.220053335505053</c:v>
                </c:pt>
                <c:pt idx="1">
                  <c:v>22.666614065503602</c:v>
                </c:pt>
                <c:pt idx="2">
                  <c:v>20.528254248003478</c:v>
                </c:pt>
                <c:pt idx="3">
                  <c:v>18.389894430502402</c:v>
                </c:pt>
                <c:pt idx="4">
                  <c:v>16.251534613002278</c:v>
                </c:pt>
                <c:pt idx="5">
                  <c:v>14.113174795502152</c:v>
                </c:pt>
                <c:pt idx="6">
                  <c:v>11.974814978002028</c:v>
                </c:pt>
                <c:pt idx="7">
                  <c:v>5.5597355255007059</c:v>
                </c:pt>
                <c:pt idx="8">
                  <c:v>3.4213757080005802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95-4B4E-BC6F-95AC5400A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03392"/>
        <c:axId val="120605696"/>
      </c:scatterChart>
      <c:valAx>
        <c:axId val="1206033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605696"/>
        <c:crosses val="autoZero"/>
        <c:crossBetween val="midCat"/>
      </c:valAx>
      <c:valAx>
        <c:axId val="1206056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06033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'105'!$G$11:$G$24</c:f>
              <c:numCache>
                <c:formatCode>0.0</c:formatCode>
                <c:ptCount val="14"/>
                <c:pt idx="0">
                  <c:v>100</c:v>
                </c:pt>
                <c:pt idx="1">
                  <c:v>78.040272712858723</c:v>
                </c:pt>
                <c:pt idx="2">
                  <c:v>78.040272712858723</c:v>
                </c:pt>
                <c:pt idx="3">
                  <c:v>68.907563025210081</c:v>
                </c:pt>
                <c:pt idx="4">
                  <c:v>58.395433645156174</c:v>
                </c:pt>
                <c:pt idx="5">
                  <c:v>55.795148247978439</c:v>
                </c:pt>
                <c:pt idx="6">
                  <c:v>48.771206595845875</c:v>
                </c:pt>
                <c:pt idx="7">
                  <c:v>40.859362612969704</c:v>
                </c:pt>
                <c:pt idx="8">
                  <c:v>35.484382432218162</c:v>
                </c:pt>
                <c:pt idx="9">
                  <c:v>27.683526240684948</c:v>
                </c:pt>
                <c:pt idx="10">
                  <c:v>17.314095449500556</c:v>
                </c:pt>
                <c:pt idx="11">
                  <c:v>6.5007134929443513</c:v>
                </c:pt>
                <c:pt idx="12">
                  <c:v>4.2333914697954675</c:v>
                </c:pt>
                <c:pt idx="13">
                  <c:v>3.6150309180275855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3-48C4-B1FA-B67366A5F428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'105'!$Q$4:$Q$12</c:f>
              <c:numCache>
                <c:formatCode>General</c:formatCode>
                <c:ptCount val="9"/>
              </c:numCache>
            </c:numRef>
          </c:xVal>
          <c:yVal>
            <c:numRef>
              <c:f>'105'!$S$4:$S$12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73-48C4-B1FA-B67366A5F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17312"/>
        <c:axId val="120719616"/>
      </c:scatterChart>
      <c:valAx>
        <c:axId val="1207173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0719616"/>
        <c:crosses val="autoZero"/>
        <c:crossBetween val="midCat"/>
      </c:valAx>
      <c:valAx>
        <c:axId val="12071961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07173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71.672691422937888</c:v>
                </c:pt>
                <c:pt idx="3">
                  <c:v>59.694380545514292</c:v>
                </c:pt>
                <c:pt idx="4">
                  <c:v>46.73020046007229</c:v>
                </c:pt>
                <c:pt idx="5">
                  <c:v>45.234965494577708</c:v>
                </c:pt>
                <c:pt idx="6">
                  <c:v>38.481761419651647</c:v>
                </c:pt>
                <c:pt idx="7">
                  <c:v>31.942162339796241</c:v>
                </c:pt>
                <c:pt idx="8">
                  <c:v>25.813342096615166</c:v>
                </c:pt>
                <c:pt idx="9">
                  <c:v>16.086099244166924</c:v>
                </c:pt>
                <c:pt idx="10">
                  <c:v>7.6733486690765531</c:v>
                </c:pt>
                <c:pt idx="11">
                  <c:v>3.7134406835359735</c:v>
                </c:pt>
                <c:pt idx="12">
                  <c:v>2.5961222477817811</c:v>
                </c:pt>
                <c:pt idx="13">
                  <c:v>2.2674991784423133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54-4AE2-8B2A-0001EBF3C39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'106'!$Q$4:$Q$12</c:f>
              <c:numCache>
                <c:formatCode>General</c:formatCode>
                <c:ptCount val="9"/>
              </c:numCache>
            </c:numRef>
          </c:xVal>
          <c:yVal>
            <c:numRef>
              <c:f>'106'!$S$4:$S$12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54-4AE2-8B2A-0001EBF3C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47392"/>
        <c:axId val="121549952"/>
      </c:scatterChart>
      <c:valAx>
        <c:axId val="1215473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1549952"/>
        <c:crosses val="autoZero"/>
        <c:crossBetween val="midCat"/>
      </c:valAx>
      <c:valAx>
        <c:axId val="1215499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15473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79.573170731707322</c:v>
                </c:pt>
                <c:pt idx="3">
                  <c:v>67.443379790940767</c:v>
                </c:pt>
                <c:pt idx="4">
                  <c:v>56.64198606271777</c:v>
                </c:pt>
                <c:pt idx="5">
                  <c:v>53.266550522648082</c:v>
                </c:pt>
                <c:pt idx="6">
                  <c:v>44.207317073170728</c:v>
                </c:pt>
                <c:pt idx="7">
                  <c:v>34.16811846689896</c:v>
                </c:pt>
                <c:pt idx="8">
                  <c:v>25.827526132404184</c:v>
                </c:pt>
                <c:pt idx="9">
                  <c:v>17.944250871080147</c:v>
                </c:pt>
                <c:pt idx="10">
                  <c:v>9.1681184668989602</c:v>
                </c:pt>
                <c:pt idx="11">
                  <c:v>2.2865853658536723</c:v>
                </c:pt>
                <c:pt idx="12">
                  <c:v>1.3066202090592474</c:v>
                </c:pt>
                <c:pt idx="13">
                  <c:v>1.2412891986062833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CA-40F4-B503-9E601758483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'107'!$Q$4:$Q$12</c:f>
              <c:numCache>
                <c:formatCode>General</c:formatCode>
                <c:ptCount val="9"/>
              </c:numCache>
            </c:numRef>
          </c:xVal>
          <c:yVal>
            <c:numRef>
              <c:f>'107'!$S$4:$S$12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CA-40F4-B503-9E6017584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66336"/>
        <c:axId val="124625280"/>
      </c:scatterChart>
      <c:valAx>
        <c:axId val="1215663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4625280"/>
        <c:crosses val="autoZero"/>
        <c:crossBetween val="midCat"/>
      </c:valAx>
      <c:valAx>
        <c:axId val="1246252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15663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89.031242975949652</c:v>
                </c:pt>
                <c:pt idx="3">
                  <c:v>83.209710047201625</c:v>
                </c:pt>
                <c:pt idx="4">
                  <c:v>61.789166104742648</c:v>
                </c:pt>
                <c:pt idx="5">
                  <c:v>57.54102045403463</c:v>
                </c:pt>
                <c:pt idx="6">
                  <c:v>48.505282085862</c:v>
                </c:pt>
                <c:pt idx="7">
                  <c:v>41.919532479208819</c:v>
                </c:pt>
                <c:pt idx="8">
                  <c:v>35.828276017082509</c:v>
                </c:pt>
                <c:pt idx="9">
                  <c:v>23.128792987188152</c:v>
                </c:pt>
                <c:pt idx="10">
                  <c:v>11.890312429759518</c:v>
                </c:pt>
                <c:pt idx="11">
                  <c:v>5.5518093953697711</c:v>
                </c:pt>
                <c:pt idx="12">
                  <c:v>3.2142054394246076</c:v>
                </c:pt>
                <c:pt idx="13">
                  <c:v>2.6522814115531759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61-49E9-A8D0-718FA6DF01E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'108'!$Q$4:$Q$12</c:f>
              <c:numCache>
                <c:formatCode>General</c:formatCode>
                <c:ptCount val="9"/>
              </c:numCache>
            </c:numRef>
          </c:xVal>
          <c:yVal>
            <c:numRef>
              <c:f>'108'!$S$4:$S$12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61-49E9-A8D0-718FA6DF0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30144"/>
        <c:axId val="124632448"/>
      </c:scatterChart>
      <c:valAx>
        <c:axId val="12463014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4632448"/>
        <c:crosses val="autoZero"/>
        <c:crossBetween val="midCat"/>
      </c:valAx>
      <c:valAx>
        <c:axId val="1246324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463014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'109'!$B$11:$B$24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'109'!$G$11:$G$24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86.937901498929335</c:v>
                </c:pt>
                <c:pt idx="4">
                  <c:v>65.277549003459072</c:v>
                </c:pt>
                <c:pt idx="5">
                  <c:v>59.9077581946961</c:v>
                </c:pt>
                <c:pt idx="6">
                  <c:v>48.855213309174772</c:v>
                </c:pt>
                <c:pt idx="7">
                  <c:v>39.351013012683261</c:v>
                </c:pt>
                <c:pt idx="8">
                  <c:v>30.143304233240009</c:v>
                </c:pt>
                <c:pt idx="9">
                  <c:v>17.212979739746352</c:v>
                </c:pt>
                <c:pt idx="10">
                  <c:v>10.130126832482311</c:v>
                </c:pt>
                <c:pt idx="11">
                  <c:v>5.9133585900181442</c:v>
                </c:pt>
                <c:pt idx="12">
                  <c:v>4.7768077746664668</c:v>
                </c:pt>
                <c:pt idx="13">
                  <c:v>4.348542250041195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6E-4B79-BEDC-51E4AEB0F3E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'109'!$Q$4:$Q$12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'109'!$S$4:$S$12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6E-4B79-BEDC-51E4AEB0F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5744"/>
        <c:axId val="124504704"/>
      </c:scatterChart>
      <c:valAx>
        <c:axId val="12449574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504704"/>
        <c:crosses val="autoZero"/>
        <c:crossBetween val="midCat"/>
      </c:valAx>
      <c:valAx>
        <c:axId val="12450470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49574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92.521834061135365</c:v>
                </c:pt>
                <c:pt idx="4">
                  <c:v>70.833333333333314</c:v>
                </c:pt>
                <c:pt idx="5">
                  <c:v>67.066957787481783</c:v>
                </c:pt>
                <c:pt idx="6">
                  <c:v>57.842066957787452</c:v>
                </c:pt>
                <c:pt idx="7">
                  <c:v>49.017467248908254</c:v>
                </c:pt>
                <c:pt idx="8">
                  <c:v>38.791848617176086</c:v>
                </c:pt>
                <c:pt idx="9">
                  <c:v>14.319505094614218</c:v>
                </c:pt>
                <c:pt idx="10">
                  <c:v>5.9497816593885968</c:v>
                </c:pt>
                <c:pt idx="11">
                  <c:v>3.3842794759824892</c:v>
                </c:pt>
                <c:pt idx="12">
                  <c:v>2.51091703056764</c:v>
                </c:pt>
                <c:pt idx="13">
                  <c:v>2.2743813682677834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E2-42BD-B174-E430BCB1185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E2-42BD-B174-E430BCB11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2784"/>
        <c:axId val="125208448"/>
      </c:scatterChart>
      <c:valAx>
        <c:axId val="1245027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208448"/>
        <c:crosses val="autoZero"/>
        <c:crossBetween val="midCat"/>
      </c:valAx>
      <c:valAx>
        <c:axId val="1252084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5027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97.68126610231873</c:v>
                </c:pt>
                <c:pt idx="4">
                  <c:v>86.124401913875602</c:v>
                </c:pt>
                <c:pt idx="5">
                  <c:v>84.909827015090158</c:v>
                </c:pt>
                <c:pt idx="6">
                  <c:v>78.174457121825512</c:v>
                </c:pt>
                <c:pt idx="7">
                  <c:v>69.562016930437949</c:v>
                </c:pt>
                <c:pt idx="8">
                  <c:v>59.219727640780256</c:v>
                </c:pt>
                <c:pt idx="9">
                  <c:v>23.813029076186979</c:v>
                </c:pt>
                <c:pt idx="10">
                  <c:v>8.428413691571599</c:v>
                </c:pt>
                <c:pt idx="11">
                  <c:v>4.7846889952153351</c:v>
                </c:pt>
                <c:pt idx="12">
                  <c:v>3.5333087964667031</c:v>
                </c:pt>
                <c:pt idx="13">
                  <c:v>3.1652557968347566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7-4547-9D43-631D6078DE0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07-4547-9D43-631D6078D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35584"/>
        <c:axId val="124277888"/>
      </c:scatterChart>
      <c:valAx>
        <c:axId val="1252355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277888"/>
        <c:crosses val="autoZero"/>
        <c:crossBetween val="midCat"/>
      </c:valAx>
      <c:valAx>
        <c:axId val="1242778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2355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 orientation="portrait"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93.737454837414688</c:v>
                </c:pt>
                <c:pt idx="3">
                  <c:v>78.783621035728629</c:v>
                </c:pt>
                <c:pt idx="4">
                  <c:v>66.880770774789255</c:v>
                </c:pt>
                <c:pt idx="5">
                  <c:v>64.07065435568046</c:v>
                </c:pt>
                <c:pt idx="6">
                  <c:v>56.122039341629872</c:v>
                </c:pt>
                <c:pt idx="7">
                  <c:v>46.567643516659984</c:v>
                </c:pt>
                <c:pt idx="8">
                  <c:v>40.044158972300288</c:v>
                </c:pt>
                <c:pt idx="9">
                  <c:v>20.052187876354882</c:v>
                </c:pt>
                <c:pt idx="10">
                  <c:v>7.8081091930951487</c:v>
                </c:pt>
                <c:pt idx="11">
                  <c:v>3.5728623042954775</c:v>
                </c:pt>
                <c:pt idx="12">
                  <c:v>2.2280208751505466</c:v>
                </c:pt>
                <c:pt idx="13">
                  <c:v>2.0272982737856329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D-4061-BE19-82ED2C26A50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'112'!$Q$4:$Q$12</c:f>
              <c:numCache>
                <c:formatCode>General</c:formatCode>
                <c:ptCount val="9"/>
              </c:numCache>
            </c:numRef>
          </c:xVal>
          <c:yVal>
            <c:numRef>
              <c:f>'112'!$S$4:$S$12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1D-4061-BE19-82ED2C26A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23776"/>
        <c:axId val="123863424"/>
      </c:scatterChart>
      <c:valAx>
        <c:axId val="1241237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3863424"/>
        <c:crosses val="autoZero"/>
        <c:crossBetween val="midCat"/>
      </c:valAx>
      <c:valAx>
        <c:axId val="1238634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41237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'113'!$G$11:$G$24</c:f>
              <c:numCache>
                <c:formatCode>0.0</c:formatCode>
                <c:ptCount val="14"/>
                <c:pt idx="0">
                  <c:v>100</c:v>
                </c:pt>
                <c:pt idx="1">
                  <c:v>79.211684673869556</c:v>
                </c:pt>
                <c:pt idx="2">
                  <c:v>74.589835934373752</c:v>
                </c:pt>
                <c:pt idx="3">
                  <c:v>65.686274509803923</c:v>
                </c:pt>
                <c:pt idx="4">
                  <c:v>49.819927971188477</c:v>
                </c:pt>
                <c:pt idx="5">
                  <c:v>46.698679471788715</c:v>
                </c:pt>
                <c:pt idx="6">
                  <c:v>38.79551820728291</c:v>
                </c:pt>
                <c:pt idx="7">
                  <c:v>29.431772709083631</c:v>
                </c:pt>
                <c:pt idx="8">
                  <c:v>22.448979591836739</c:v>
                </c:pt>
                <c:pt idx="9">
                  <c:v>13.985594237695082</c:v>
                </c:pt>
                <c:pt idx="10">
                  <c:v>7.8631452581032528</c:v>
                </c:pt>
                <c:pt idx="11">
                  <c:v>4.4617847138855655</c:v>
                </c:pt>
                <c:pt idx="12">
                  <c:v>3.1012404961984887</c:v>
                </c:pt>
                <c:pt idx="13">
                  <c:v>2.6810724289715937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1-4378-9E16-90A29295251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'113'!$Q$4:$Q$12</c:f>
              <c:numCache>
                <c:formatCode>General</c:formatCode>
                <c:ptCount val="9"/>
              </c:numCache>
            </c:numRef>
          </c:xVal>
          <c:yVal>
            <c:numRef>
              <c:f>'113'!$S$4:$S$12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1-4378-9E16-90A292952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62624"/>
        <c:axId val="125164928"/>
      </c:scatterChart>
      <c:valAx>
        <c:axId val="1251626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5164928"/>
        <c:crosses val="autoZero"/>
        <c:crossBetween val="midCat"/>
      </c:valAx>
      <c:valAx>
        <c:axId val="1251649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51626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93.381893860561917</c:v>
                </c:pt>
                <c:pt idx="3">
                  <c:v>88.699271592091577</c:v>
                </c:pt>
                <c:pt idx="4">
                  <c:v>66.992715920915714</c:v>
                </c:pt>
                <c:pt idx="5">
                  <c:v>64.599375650364209</c:v>
                </c:pt>
                <c:pt idx="6">
                  <c:v>54.755463059313207</c:v>
                </c:pt>
                <c:pt idx="7">
                  <c:v>45.306971904266376</c:v>
                </c:pt>
                <c:pt idx="8">
                  <c:v>38.210197710717999</c:v>
                </c:pt>
                <c:pt idx="9">
                  <c:v>28.803329864724247</c:v>
                </c:pt>
                <c:pt idx="10">
                  <c:v>21.623309053069722</c:v>
                </c:pt>
                <c:pt idx="11">
                  <c:v>13.028095733610835</c:v>
                </c:pt>
                <c:pt idx="12">
                  <c:v>11.238293444328832</c:v>
                </c:pt>
                <c:pt idx="13">
                  <c:v>9.9895941727367408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B6-4FBE-81DD-98576310C9A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B6-4FBE-81DD-98576310C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17792"/>
        <c:axId val="124820096"/>
      </c:scatterChart>
      <c:valAx>
        <c:axId val="1248177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820096"/>
        <c:crosses val="autoZero"/>
        <c:crossBetween val="midCat"/>
      </c:valAx>
      <c:valAx>
        <c:axId val="1248200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8177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'115'!$G$11:$G$24</c:f>
              <c:numCache>
                <c:formatCode>0.0</c:formatCode>
                <c:ptCount val="14"/>
                <c:pt idx="0">
                  <c:v>100</c:v>
                </c:pt>
                <c:pt idx="1">
                  <c:v>93.443775100401609</c:v>
                </c:pt>
                <c:pt idx="2">
                  <c:v>91.064257028112451</c:v>
                </c:pt>
                <c:pt idx="3">
                  <c:v>82.269076305220892</c:v>
                </c:pt>
                <c:pt idx="4">
                  <c:v>67.349397590361463</c:v>
                </c:pt>
                <c:pt idx="5">
                  <c:v>61.997991967871499</c:v>
                </c:pt>
                <c:pt idx="6">
                  <c:v>48.654618473895596</c:v>
                </c:pt>
                <c:pt idx="7">
                  <c:v>32.720883534136568</c:v>
                </c:pt>
                <c:pt idx="8">
                  <c:v>20.933734939759063</c:v>
                </c:pt>
                <c:pt idx="9">
                  <c:v>12.198795180722922</c:v>
                </c:pt>
                <c:pt idx="10">
                  <c:v>7.6706827309237298</c:v>
                </c:pt>
                <c:pt idx="11">
                  <c:v>3.8855421686747365</c:v>
                </c:pt>
                <c:pt idx="12">
                  <c:v>2.2389558232932076</c:v>
                </c:pt>
                <c:pt idx="13">
                  <c:v>1.7670682730924057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AC-44F9-9BD0-01E3D463ACB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AC-44F9-9BD0-01E3D463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43840"/>
        <c:axId val="125060992"/>
      </c:scatterChart>
      <c:valAx>
        <c:axId val="1250438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060992"/>
        <c:crosses val="autoZero"/>
        <c:crossBetween val="midCat"/>
      </c:valAx>
      <c:valAx>
        <c:axId val="1250609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0438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'116'!$G$11:$G$24</c:f>
              <c:numCache>
                <c:formatCode>0.0</c:formatCode>
                <c:ptCount val="14"/>
                <c:pt idx="0">
                  <c:v>100</c:v>
                </c:pt>
                <c:pt idx="1">
                  <c:v>85.666375036453786</c:v>
                </c:pt>
                <c:pt idx="2">
                  <c:v>85.666375036453786</c:v>
                </c:pt>
                <c:pt idx="3">
                  <c:v>73.957421988918071</c:v>
                </c:pt>
                <c:pt idx="4">
                  <c:v>57.188684747739892</c:v>
                </c:pt>
                <c:pt idx="5">
                  <c:v>54.855643044619448</c:v>
                </c:pt>
                <c:pt idx="6">
                  <c:v>47.112860892388476</c:v>
                </c:pt>
                <c:pt idx="7">
                  <c:v>38.43686205890932</c:v>
                </c:pt>
                <c:pt idx="8">
                  <c:v>32.779235928842247</c:v>
                </c:pt>
                <c:pt idx="9">
                  <c:v>24.32195975503064</c:v>
                </c:pt>
                <c:pt idx="10">
                  <c:v>16.24380285797611</c:v>
                </c:pt>
                <c:pt idx="11">
                  <c:v>10.498687664042023</c:v>
                </c:pt>
                <c:pt idx="12">
                  <c:v>9.1426071741032651</c:v>
                </c:pt>
                <c:pt idx="13">
                  <c:v>8.9676290463692343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F-429C-9F78-0454541E66E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7F-429C-9F78-0454541E6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55328"/>
        <c:axId val="125756544"/>
      </c:scatterChart>
      <c:valAx>
        <c:axId val="1247553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756544"/>
        <c:crosses val="autoZero"/>
        <c:crossBetween val="midCat"/>
      </c:valAx>
      <c:valAx>
        <c:axId val="1257565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47553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91.497643925425123</c:v>
                </c:pt>
                <c:pt idx="3">
                  <c:v>78.426551936078681</c:v>
                </c:pt>
                <c:pt idx="4">
                  <c:v>66.605203851669756</c:v>
                </c:pt>
                <c:pt idx="5">
                  <c:v>65.539848391723012</c:v>
                </c:pt>
                <c:pt idx="6">
                  <c:v>60.151608276992413</c:v>
                </c:pt>
                <c:pt idx="7">
                  <c:v>54.742880557262843</c:v>
                </c:pt>
                <c:pt idx="8">
                  <c:v>49.334152837533289</c:v>
                </c:pt>
                <c:pt idx="9">
                  <c:v>43.515673017824206</c:v>
                </c:pt>
                <c:pt idx="10">
                  <c:v>35.074779758246258</c:v>
                </c:pt>
                <c:pt idx="11">
                  <c:v>16.758860889162065</c:v>
                </c:pt>
                <c:pt idx="12">
                  <c:v>11.677934849416111</c:v>
                </c:pt>
                <c:pt idx="13">
                  <c:v>9.62917434951855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18-4FA5-8A11-16786413883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'117'!$Q$4:$Q$12</c:f>
              <c:numCache>
                <c:formatCode>General</c:formatCode>
                <c:ptCount val="9"/>
              </c:numCache>
            </c:numRef>
          </c:xVal>
          <c:yVal>
            <c:numRef>
              <c:f>'117'!$S$4:$S$12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18-4FA5-8A11-167864138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19168"/>
        <c:axId val="125346176"/>
      </c:scatterChart>
      <c:valAx>
        <c:axId val="1249191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5346176"/>
        <c:crosses val="autoZero"/>
        <c:crossBetween val="midCat"/>
      </c:valAx>
      <c:valAx>
        <c:axId val="1253461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49191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31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'119'!$B$11:$B$24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'119'!$G$11:$G$24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89.648509385351488</c:v>
                </c:pt>
                <c:pt idx="3">
                  <c:v>83.483621641516379</c:v>
                </c:pt>
                <c:pt idx="4">
                  <c:v>67.427309532572693</c:v>
                </c:pt>
                <c:pt idx="5">
                  <c:v>63.627162311372835</c:v>
                </c:pt>
                <c:pt idx="6">
                  <c:v>54.683474420316522</c:v>
                </c:pt>
                <c:pt idx="7">
                  <c:v>44.552815605447186</c:v>
                </c:pt>
                <c:pt idx="8">
                  <c:v>36.455649613544352</c:v>
                </c:pt>
                <c:pt idx="9">
                  <c:v>23.987854251012152</c:v>
                </c:pt>
                <c:pt idx="10">
                  <c:v>16.902834008097173</c:v>
                </c:pt>
                <c:pt idx="11">
                  <c:v>12.946264262053743</c:v>
                </c:pt>
                <c:pt idx="12">
                  <c:v>9.3301435406698641</c:v>
                </c:pt>
                <c:pt idx="13">
                  <c:v>8.1155686418844404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5-4545-A8FC-62F9B36F361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'119'!$Q$4:$Q$12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'119'!$S$4:$S$12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D5-4545-A8FC-62F9B36F3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57536"/>
        <c:axId val="125459840"/>
      </c:scatterChart>
      <c:valAx>
        <c:axId val="1254575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459840"/>
        <c:crosses val="autoZero"/>
        <c:crossBetween val="midCat"/>
      </c:valAx>
      <c:valAx>
        <c:axId val="12545984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4575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'120'!$G$11:$G$24</c:f>
              <c:numCache>
                <c:formatCode>0.0</c:formatCode>
                <c:ptCount val="14"/>
                <c:pt idx="0">
                  <c:v>100</c:v>
                </c:pt>
                <c:pt idx="1">
                  <c:v>89.736176364293456</c:v>
                </c:pt>
                <c:pt idx="2">
                  <c:v>86.736537766534155</c:v>
                </c:pt>
                <c:pt idx="3">
                  <c:v>75.262016624503076</c:v>
                </c:pt>
                <c:pt idx="4">
                  <c:v>62.847849656667876</c:v>
                </c:pt>
                <c:pt idx="5">
                  <c:v>59.215757137694254</c:v>
                </c:pt>
                <c:pt idx="6">
                  <c:v>49.439826526924463</c:v>
                </c:pt>
                <c:pt idx="7">
                  <c:v>38.344777737621968</c:v>
                </c:pt>
                <c:pt idx="8">
                  <c:v>30.285507770148179</c:v>
                </c:pt>
                <c:pt idx="9">
                  <c:v>21.340802312974347</c:v>
                </c:pt>
                <c:pt idx="10">
                  <c:v>14.094687387061814</c:v>
                </c:pt>
                <c:pt idx="11">
                  <c:v>9.9385616190820532</c:v>
                </c:pt>
                <c:pt idx="12">
                  <c:v>7.1376942537043888</c:v>
                </c:pt>
                <c:pt idx="13">
                  <c:v>6.3606794362125187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B1-42C7-B4AE-A82D4C9B2B1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'120'!$Q$4:$Q$12</c:f>
              <c:numCache>
                <c:formatCode>General</c:formatCode>
                <c:ptCount val="9"/>
              </c:numCache>
            </c:numRef>
          </c:xVal>
          <c:yVal>
            <c:numRef>
              <c:f>'120'!$S$4:$S$12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1-42C7-B4AE-A82D4C9B2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2880"/>
        <c:axId val="126225024"/>
      </c:scatterChart>
      <c:valAx>
        <c:axId val="1254828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6225024"/>
        <c:crosses val="autoZero"/>
        <c:crossBetween val="midCat"/>
      </c:valAx>
      <c:valAx>
        <c:axId val="1262250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54828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'121'!$G$11:$G$24</c:f>
              <c:numCache>
                <c:formatCode>0.0</c:formatCode>
                <c:ptCount val="14"/>
                <c:pt idx="0">
                  <c:v>100</c:v>
                </c:pt>
                <c:pt idx="1">
                  <c:v>80.55461616503213</c:v>
                </c:pt>
                <c:pt idx="2">
                  <c:v>75.566452485627323</c:v>
                </c:pt>
                <c:pt idx="3">
                  <c:v>65.302671626648632</c:v>
                </c:pt>
                <c:pt idx="4">
                  <c:v>43.287115319580664</c:v>
                </c:pt>
                <c:pt idx="5">
                  <c:v>40.243490023672649</c:v>
                </c:pt>
                <c:pt idx="6">
                  <c:v>32.160973960094687</c:v>
                </c:pt>
                <c:pt idx="7">
                  <c:v>24.873182279337168</c:v>
                </c:pt>
                <c:pt idx="8">
                  <c:v>20.78119715928306</c:v>
                </c:pt>
                <c:pt idx="9">
                  <c:v>16.503212715590127</c:v>
                </c:pt>
                <c:pt idx="10">
                  <c:v>13.459587419682112</c:v>
                </c:pt>
                <c:pt idx="11">
                  <c:v>9.7226919174839441</c:v>
                </c:pt>
                <c:pt idx="12">
                  <c:v>8.3530605343253335</c:v>
                </c:pt>
                <c:pt idx="13">
                  <c:v>6.5099763273588076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DF-43E4-9601-F9050B63B8B6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'121'!$S$4:$S$12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DF-43E4-9601-F9050B63B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09024"/>
        <c:axId val="125810560"/>
      </c:scatterChart>
      <c:valAx>
        <c:axId val="1258090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810560"/>
        <c:crosses val="autoZero"/>
        <c:crossBetween val="midCat"/>
      </c:valAx>
      <c:valAx>
        <c:axId val="12581056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58090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d &gt; 0.125 mm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'122'!$G$11:$G$24</c:f>
              <c:numCache>
                <c:formatCode>0.0</c:formatCode>
                <c:ptCount val="14"/>
                <c:pt idx="0" formatCode="General">
                  <c:v>100</c:v>
                </c:pt>
                <c:pt idx="1">
                  <c:v>86.797434930215019</c:v>
                </c:pt>
                <c:pt idx="2">
                  <c:v>71.689928328932481</c:v>
                </c:pt>
                <c:pt idx="3">
                  <c:v>68.238400603545841</c:v>
                </c:pt>
                <c:pt idx="4">
                  <c:v>60.731799321010953</c:v>
                </c:pt>
                <c:pt idx="5">
                  <c:v>57.431158053564708</c:v>
                </c:pt>
                <c:pt idx="6">
                  <c:v>50.773293096944549</c:v>
                </c:pt>
                <c:pt idx="7">
                  <c:v>45.039607695209348</c:v>
                </c:pt>
                <c:pt idx="8">
                  <c:v>39.852885703508107</c:v>
                </c:pt>
                <c:pt idx="9">
                  <c:v>32.101093926820063</c:v>
                </c:pt>
                <c:pt idx="10">
                  <c:v>24.066390041493779</c:v>
                </c:pt>
                <c:pt idx="11">
                  <c:v>15.032063372312344</c:v>
                </c:pt>
                <c:pt idx="12">
                  <c:v>10.222557525462099</c:v>
                </c:pt>
                <c:pt idx="13">
                  <c:v>8.0912863070539487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2F-4137-80C4-26EA1A06DAEF}"/>
            </c:ext>
          </c:extLst>
        </c:ser>
        <c:ser>
          <c:idx val="2"/>
          <c:order val="1"/>
          <c:tx>
            <c:v>Sedimentation d &lt; 0.125 mm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'122'!$Q$4:$Q$13</c:f>
              <c:numCache>
                <c:formatCode>General</c:formatCode>
                <c:ptCount val="10"/>
              </c:numCache>
            </c:numRef>
          </c:xVal>
          <c:yVal>
            <c:numRef>
              <c:f>'122'!$S$4:$S$13</c:f>
              <c:numCache>
                <c:formatCode>0.0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2F-4137-80C4-26EA1A06D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37696"/>
        <c:axId val="125981824"/>
      </c:scatterChart>
      <c:valAx>
        <c:axId val="1258376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5981824"/>
        <c:crosses val="autoZero"/>
        <c:crossBetween val="midCat"/>
      </c:valAx>
      <c:valAx>
        <c:axId val="1259818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58376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088379264045964"/>
          <c:y val="0.77823310557835168"/>
          <c:w val="0.2633085864673308"/>
          <c:h val="8.11549533411777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0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90.447615958482004</c:v>
                </c:pt>
                <c:pt idx="5">
                  <c:v>87.933830684398316</c:v>
                </c:pt>
                <c:pt idx="6">
                  <c:v>81.349335063250081</c:v>
                </c:pt>
                <c:pt idx="7">
                  <c:v>73.013298734998372</c:v>
                </c:pt>
                <c:pt idx="8">
                  <c:v>66.607200778462527</c:v>
                </c:pt>
                <c:pt idx="9">
                  <c:v>59.892961401232554</c:v>
                </c:pt>
                <c:pt idx="10">
                  <c:v>51.443399286409338</c:v>
                </c:pt>
                <c:pt idx="11">
                  <c:v>33.279273434965944</c:v>
                </c:pt>
                <c:pt idx="12">
                  <c:v>27.18131689912423</c:v>
                </c:pt>
                <c:pt idx="13">
                  <c:v>22.153746350956862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91-4098-A3A7-DC3EFB8B72F7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'124'!$Q$4:$Q$12</c:f>
              <c:numCache>
                <c:formatCode>0.0000</c:formatCode>
                <c:ptCount val="9"/>
                <c:pt idx="0">
                  <c:v>7.7048929259696183E-2</c:v>
                </c:pt>
                <c:pt idx="1">
                  <c:v>5.5528488205079989E-2</c:v>
                </c:pt>
                <c:pt idx="2">
                  <c:v>3.975031972962155E-2</c:v>
                </c:pt>
                <c:pt idx="3">
                  <c:v>2.5892403999612422E-2</c:v>
                </c:pt>
                <c:pt idx="4">
                  <c:v>1.52874863731548E-2</c:v>
                </c:pt>
                <c:pt idx="5">
                  <c:v>8.9700152934958748E-3</c:v>
                </c:pt>
                <c:pt idx="6">
                  <c:v>5.5509125986351352E-3</c:v>
                </c:pt>
                <c:pt idx="7">
                  <c:v>3.2444958019396475E-3</c:v>
                </c:pt>
                <c:pt idx="8">
                  <c:v>1.6255306078460693E-3</c:v>
                </c:pt>
              </c:numCache>
            </c:numRef>
          </c:xVal>
          <c:yVal>
            <c:numRef>
              <c:f>'124'!$S$4:$S$12</c:f>
              <c:numCache>
                <c:formatCode>0.0</c:formatCode>
                <c:ptCount val="9"/>
                <c:pt idx="0">
                  <c:v>19.521611729279655</c:v>
                </c:pt>
                <c:pt idx="1">
                  <c:v>16.975314547199595</c:v>
                </c:pt>
                <c:pt idx="2">
                  <c:v>15.277783092479805</c:v>
                </c:pt>
                <c:pt idx="3">
                  <c:v>11.033954455679577</c:v>
                </c:pt>
                <c:pt idx="4">
                  <c:v>7.6388915462396207</c:v>
                </c:pt>
                <c:pt idx="5">
                  <c:v>5.0925943641599352</c:v>
                </c:pt>
                <c:pt idx="6">
                  <c:v>3.3950629094397686</c:v>
                </c:pt>
                <c:pt idx="7">
                  <c:v>1.358025163775832</c:v>
                </c:pt>
                <c:pt idx="8">
                  <c:v>1.0185188728318739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91-4098-A3A7-DC3EFB8B7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48128"/>
        <c:axId val="126050688"/>
      </c:scatterChart>
      <c:valAx>
        <c:axId val="1260481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050688"/>
        <c:crosses val="autoZero"/>
        <c:crossBetween val="midCat"/>
      </c:valAx>
      <c:valAx>
        <c:axId val="1260506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0481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98.529660300828127</c:v>
                </c:pt>
                <c:pt idx="4">
                  <c:v>94.389048504309628</c:v>
                </c:pt>
                <c:pt idx="5">
                  <c:v>92.090586445834049</c:v>
                </c:pt>
                <c:pt idx="6">
                  <c:v>86.716241338516141</c:v>
                </c:pt>
                <c:pt idx="7">
                  <c:v>78.063207706608083</c:v>
                </c:pt>
                <c:pt idx="8">
                  <c:v>70.576305560250134</c:v>
                </c:pt>
                <c:pt idx="9">
                  <c:v>62.98800067601826</c:v>
                </c:pt>
                <c:pt idx="10">
                  <c:v>54.858881189792143</c:v>
                </c:pt>
                <c:pt idx="11">
                  <c:v>36.285279702551996</c:v>
                </c:pt>
                <c:pt idx="12">
                  <c:v>29.203988507689733</c:v>
                </c:pt>
                <c:pt idx="13">
                  <c:v>24.623964847050893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2-470B-ABDB-D27CD0AEECA3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'125'!$Q$4:$Q$12</c:f>
              <c:numCache>
                <c:formatCode>0.0000</c:formatCode>
                <c:ptCount val="9"/>
                <c:pt idx="0">
                  <c:v>7.2616882758910872E-2</c:v>
                </c:pt>
                <c:pt idx="1">
                  <c:v>5.2429843787478184E-2</c:v>
                </c:pt>
                <c:pt idx="2">
                  <c:v>3.7325032367717129E-2</c:v>
                </c:pt>
                <c:pt idx="3">
                  <c:v>2.4842449902879343E-2</c:v>
                </c:pt>
                <c:pt idx="4">
                  <c:v>1.5752259426453481E-2</c:v>
                </c:pt>
                <c:pt idx="5">
                  <c:v>9.2307310946076557E-3</c:v>
                </c:pt>
                <c:pt idx="6">
                  <c:v>5.7075556430262022E-3</c:v>
                </c:pt>
                <c:pt idx="7">
                  <c:v>3.3109962134243386E-3</c:v>
                </c:pt>
                <c:pt idx="8">
                  <c:v>1.6788829830426714E-3</c:v>
                </c:pt>
              </c:numCache>
            </c:numRef>
          </c:xVal>
          <c:yVal>
            <c:numRef>
              <c:f>'125'!$S$4:$S$12</c:f>
              <c:numCache>
                <c:formatCode>0.0</c:formatCode>
                <c:ptCount val="9"/>
                <c:pt idx="0">
                  <c:v>24.370903197482509</c:v>
                </c:pt>
                <c:pt idx="1">
                  <c:v>22.303236070999183</c:v>
                </c:pt>
                <c:pt idx="2">
                  <c:v>21.614013695504841</c:v>
                </c:pt>
                <c:pt idx="3">
                  <c:v>16.100234691549502</c:v>
                </c:pt>
                <c:pt idx="4">
                  <c:v>4.3834543081444926</c:v>
                </c:pt>
                <c:pt idx="5">
                  <c:v>2.3157871816611646</c:v>
                </c:pt>
                <c:pt idx="6">
                  <c:v>0.93734243067233036</c:v>
                </c:pt>
                <c:pt idx="7">
                  <c:v>0.24812005517798988</c:v>
                </c:pt>
                <c:pt idx="8">
                  <c:v>-1.8195470713053379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2-470B-ABDB-D27CD0AEE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09216"/>
        <c:axId val="126811520"/>
      </c:scatterChart>
      <c:valAx>
        <c:axId val="12680921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811520"/>
        <c:crosses val="autoZero"/>
        <c:crossBetween val="midCat"/>
      </c:valAx>
      <c:valAx>
        <c:axId val="1268115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80921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'126'!$B$11:$B$24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99.843219231774228</c:v>
                </c:pt>
                <c:pt idx="6">
                  <c:v>99.189966030833546</c:v>
                </c:pt>
                <c:pt idx="7">
                  <c:v>98.745753854193879</c:v>
                </c:pt>
                <c:pt idx="8">
                  <c:v>97.569898092500651</c:v>
                </c:pt>
                <c:pt idx="9">
                  <c:v>95.192056441076559</c:v>
                </c:pt>
                <c:pt idx="10">
                  <c:v>91.403187875620588</c:v>
                </c:pt>
                <c:pt idx="11">
                  <c:v>85.759080219493086</c:v>
                </c:pt>
                <c:pt idx="12">
                  <c:v>83.302848183956101</c:v>
                </c:pt>
                <c:pt idx="13">
                  <c:v>80.506924483929978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3-478E-A650-2B3C71F48333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'126'!$Q$4:$Q$12</c:f>
              <c:numCache>
                <c:formatCode>0.0000</c:formatCode>
                <c:ptCount val="9"/>
                <c:pt idx="0">
                  <c:v>7.2272853226536871E-2</c:v>
                </c:pt>
                <c:pt idx="1">
                  <c:v>5.1869293278941277E-2</c:v>
                </c:pt>
                <c:pt idx="2">
                  <c:v>3.7473557197133481E-2</c:v>
                </c:pt>
                <c:pt idx="3">
                  <c:v>2.4516881120057125E-2</c:v>
                </c:pt>
                <c:pt idx="4">
                  <c:v>1.4611045184007123E-2</c:v>
                </c:pt>
                <c:pt idx="5">
                  <c:v>8.6406294492236638E-3</c:v>
                </c:pt>
                <c:pt idx="6">
                  <c:v>5.3529294207705852E-3</c:v>
                </c:pt>
                <c:pt idx="7">
                  <c:v>3.1431467772525023E-3</c:v>
                </c:pt>
                <c:pt idx="8">
                  <c:v>1.5802479286534128E-3</c:v>
                </c:pt>
              </c:numCache>
            </c:numRef>
          </c:xVal>
          <c:yVal>
            <c:numRef>
              <c:f>'126'!$S$4:$S$12</c:f>
              <c:numCache>
                <c:formatCode>0.0</c:formatCode>
                <c:ptCount val="9"/>
                <c:pt idx="0">
                  <c:v>69.667196882705824</c:v>
                </c:pt>
                <c:pt idx="1">
                  <c:v>65.520339925401458</c:v>
                </c:pt>
                <c:pt idx="2">
                  <c:v>59.300054489445344</c:v>
                </c:pt>
                <c:pt idx="3">
                  <c:v>48.932912096185781</c:v>
                </c:pt>
                <c:pt idx="4">
                  <c:v>38.565769702926218</c:v>
                </c:pt>
                <c:pt idx="5">
                  <c:v>30.272055788318369</c:v>
                </c:pt>
                <c:pt idx="6">
                  <c:v>26.125198831013993</c:v>
                </c:pt>
                <c:pt idx="7">
                  <c:v>19.904913395058806</c:v>
                </c:pt>
                <c:pt idx="8">
                  <c:v>17.831484916406154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23-478E-A650-2B3C71F48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52096"/>
        <c:axId val="126454400"/>
      </c:scatterChart>
      <c:valAx>
        <c:axId val="1264520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454400"/>
        <c:crosses val="autoZero"/>
        <c:crossBetween val="midCat"/>
      </c:valAx>
      <c:valAx>
        <c:axId val="12645440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4520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90.3028822667318</c:v>
                </c:pt>
                <c:pt idx="4">
                  <c:v>75.769418661455788</c:v>
                </c:pt>
                <c:pt idx="5">
                  <c:v>74.523693209574986</c:v>
                </c:pt>
                <c:pt idx="6">
                  <c:v>70.835368832437709</c:v>
                </c:pt>
                <c:pt idx="7">
                  <c:v>67.098192476795305</c:v>
                </c:pt>
                <c:pt idx="8">
                  <c:v>64.142647777234984</c:v>
                </c:pt>
                <c:pt idx="9">
                  <c:v>60.234489496824629</c:v>
                </c:pt>
                <c:pt idx="10">
                  <c:v>55.666829506595029</c:v>
                </c:pt>
                <c:pt idx="11">
                  <c:v>47.435271128480721</c:v>
                </c:pt>
                <c:pt idx="12">
                  <c:v>38.837322911577928</c:v>
                </c:pt>
                <c:pt idx="13">
                  <c:v>35.466536394723995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7-475C-A9EF-E9BE80B63165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'127'!$Q$4:$Q$12</c:f>
              <c:numCache>
                <c:formatCode>0.0000</c:formatCode>
                <c:ptCount val="9"/>
                <c:pt idx="0">
                  <c:v>7.4019553039022301E-2</c:v>
                </c:pt>
                <c:pt idx="1">
                  <c:v>5.2714491179376627E-2</c:v>
                </c:pt>
                <c:pt idx="2">
                  <c:v>3.8316441884064058E-2</c:v>
                </c:pt>
                <c:pt idx="3">
                  <c:v>2.5032585797600357E-2</c:v>
                </c:pt>
                <c:pt idx="4">
                  <c:v>1.463305091696116E-2</c:v>
                </c:pt>
                <c:pt idx="5">
                  <c:v>8.7034412202390971E-3</c:v>
                </c:pt>
                <c:pt idx="6">
                  <c:v>5.4212978159400111E-3</c:v>
                </c:pt>
                <c:pt idx="7">
                  <c:v>3.1647350817680794E-3</c:v>
                </c:pt>
                <c:pt idx="8">
                  <c:v>1.5909832288929326E-3</c:v>
                </c:pt>
              </c:numCache>
            </c:numRef>
          </c:xVal>
          <c:yVal>
            <c:numRef>
              <c:f>'127'!$S$4:$S$12</c:f>
              <c:numCache>
                <c:formatCode>0.0</c:formatCode>
                <c:ptCount val="9"/>
                <c:pt idx="0">
                  <c:v>27.790922250005615</c:v>
                </c:pt>
                <c:pt idx="1">
                  <c:v>26.88331538357836</c:v>
                </c:pt>
                <c:pt idx="2">
                  <c:v>23.252887917868922</c:v>
                </c:pt>
                <c:pt idx="3">
                  <c:v>18.714853585731831</c:v>
                </c:pt>
                <c:pt idx="4">
                  <c:v>16.899639852877314</c:v>
                </c:pt>
                <c:pt idx="5">
                  <c:v>12.361605520740621</c:v>
                </c:pt>
                <c:pt idx="6">
                  <c:v>9.6387849214584449</c:v>
                </c:pt>
                <c:pt idx="7">
                  <c:v>7.8235711886035268</c:v>
                </c:pt>
                <c:pt idx="8">
                  <c:v>6.9159643221762703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A7-475C-A9EF-E9BE80B63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09120"/>
        <c:axId val="126723968"/>
      </c:scatterChart>
      <c:valAx>
        <c:axId val="1267091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723968"/>
        <c:crosses val="autoZero"/>
        <c:crossBetween val="midCat"/>
      </c:valAx>
      <c:valAx>
        <c:axId val="1267239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67091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'128'!$G$11:$G$24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82.390158172231992</c:v>
                </c:pt>
                <c:pt idx="3">
                  <c:v>75.782073813708266</c:v>
                </c:pt>
                <c:pt idx="4">
                  <c:v>58.769771528998248</c:v>
                </c:pt>
                <c:pt idx="5">
                  <c:v>56.7311072056239</c:v>
                </c:pt>
                <c:pt idx="6">
                  <c:v>49.543057996485047</c:v>
                </c:pt>
                <c:pt idx="7">
                  <c:v>42.565905096660792</c:v>
                </c:pt>
                <c:pt idx="8">
                  <c:v>38.330404217926173</c:v>
                </c:pt>
                <c:pt idx="9">
                  <c:v>29.789103690685394</c:v>
                </c:pt>
                <c:pt idx="10">
                  <c:v>16.713532513181008</c:v>
                </c:pt>
                <c:pt idx="11">
                  <c:v>11.124780316344459</c:v>
                </c:pt>
                <c:pt idx="12">
                  <c:v>8.2952548330404134</c:v>
                </c:pt>
                <c:pt idx="13">
                  <c:v>7.2407732864674781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0-4667-ACF2-07FAFA31C2E8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'128'!$Q$4:$Q$12</c:f>
              <c:numCache>
                <c:formatCode>General</c:formatCode>
                <c:ptCount val="9"/>
              </c:numCache>
            </c:numRef>
          </c:xVal>
          <c:yVal>
            <c:numRef>
              <c:f>'128'!$S$4:$S$12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0-4667-ACF2-07FAFA31C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83200"/>
        <c:axId val="127689856"/>
      </c:scatterChart>
      <c:valAx>
        <c:axId val="1276832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7689856"/>
        <c:crosses val="autoZero"/>
        <c:crossBetween val="midCat"/>
      </c:valAx>
      <c:valAx>
        <c:axId val="1276898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76832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d &gt; 0.125 mm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'129'!$B$11:$B$23</c:f>
              <c:numCache>
                <c:formatCode>General</c:formatCode>
                <c:ptCount val="13"/>
                <c:pt idx="0">
                  <c:v>40</c:v>
                </c:pt>
                <c:pt idx="1">
                  <c:v>30</c:v>
                </c:pt>
                <c:pt idx="2">
                  <c:v>20</c:v>
                </c:pt>
                <c:pt idx="3">
                  <c:v>10</c:v>
                </c:pt>
                <c:pt idx="4">
                  <c:v>6.3</c:v>
                </c:pt>
                <c:pt idx="5" formatCode="0.0">
                  <c:v>4</c:v>
                </c:pt>
                <c:pt idx="6" formatCode="0.0">
                  <c:v>2</c:v>
                </c:pt>
                <c:pt idx="7" formatCode="0.0">
                  <c:v>1</c:v>
                </c:pt>
                <c:pt idx="8">
                  <c:v>0.63</c:v>
                </c:pt>
                <c:pt idx="9" formatCode="0.00">
                  <c:v>0.4</c:v>
                </c:pt>
                <c:pt idx="10" formatCode="0.00">
                  <c:v>0.2</c:v>
                </c:pt>
                <c:pt idx="11" formatCode="0.00">
                  <c:v>0.1</c:v>
                </c:pt>
                <c:pt idx="12" formatCode="0.000">
                  <c:v>6.3E-2</c:v>
                </c:pt>
              </c:numCache>
            </c:numRef>
          </c:xVal>
          <c:yVal>
            <c:numRef>
              <c:f>'129'!$G$11:$G$23</c:f>
              <c:numCache>
                <c:formatCode>0.0</c:formatCode>
                <c:ptCount val="13"/>
                <c:pt idx="0">
                  <c:v>100</c:v>
                </c:pt>
                <c:pt idx="1">
                  <c:v>89.914710278730325</c:v>
                </c:pt>
                <c:pt idx="2">
                  <c:v>80.761452563088014</c:v>
                </c:pt>
                <c:pt idx="3">
                  <c:v>58.049766991998581</c:v>
                </c:pt>
                <c:pt idx="4">
                  <c:v>53.591840323573358</c:v>
                </c:pt>
                <c:pt idx="5">
                  <c:v>45.185966763386944</c:v>
                </c:pt>
                <c:pt idx="6">
                  <c:v>38.274861514112345</c:v>
                </c:pt>
                <c:pt idx="7">
                  <c:v>34.159852281719836</c:v>
                </c:pt>
                <c:pt idx="8">
                  <c:v>25.94741932647495</c:v>
                </c:pt>
                <c:pt idx="9">
                  <c:v>13.022069814472838</c:v>
                </c:pt>
                <c:pt idx="10">
                  <c:v>8.0629561241536614</c:v>
                </c:pt>
                <c:pt idx="11">
                  <c:v>6.1637210938186549</c:v>
                </c:pt>
                <c:pt idx="12">
                  <c:v>5.3899586740525409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D7-4941-9152-1777B5DE779C}"/>
            </c:ext>
          </c:extLst>
        </c:ser>
        <c:ser>
          <c:idx val="2"/>
          <c:order val="1"/>
          <c:tx>
            <c:v>Sedimentation d &lt; 0.125 mm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'129'!$Q$4:$Q$12</c:f>
              <c:numCache>
                <c:formatCode>General</c:formatCode>
                <c:ptCount val="9"/>
              </c:numCache>
            </c:numRef>
          </c:xVal>
          <c:yVal>
            <c:numRef>
              <c:f>'129'!$S$4:$S$12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D7-4941-9152-1777B5DE7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2640"/>
        <c:axId val="127275392"/>
      </c:scatterChart>
      <c:valAx>
        <c:axId val="1277126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7275392"/>
        <c:crosses val="autoZero"/>
        <c:crossBetween val="midCat"/>
      </c:valAx>
      <c:valAx>
        <c:axId val="1272753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77126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088379264045964"/>
          <c:y val="0.77823310557835168"/>
          <c:w val="0.2633085864673308"/>
          <c:h val="8.11549533411777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0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'130'!$B$11:$B$24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98.700361010830321</c:v>
                </c:pt>
                <c:pt idx="4">
                  <c:v>86.7870036101083</c:v>
                </c:pt>
                <c:pt idx="5">
                  <c:v>84.097472924187727</c:v>
                </c:pt>
                <c:pt idx="6">
                  <c:v>76.841155234657037</c:v>
                </c:pt>
                <c:pt idx="7">
                  <c:v>68.772563176895304</c:v>
                </c:pt>
                <c:pt idx="8">
                  <c:v>62.292418772563181</c:v>
                </c:pt>
                <c:pt idx="9">
                  <c:v>55.108303249097474</c:v>
                </c:pt>
                <c:pt idx="10">
                  <c:v>45.559566787003618</c:v>
                </c:pt>
                <c:pt idx="11">
                  <c:v>31.913357400722035</c:v>
                </c:pt>
                <c:pt idx="12">
                  <c:v>26.480144404332137</c:v>
                </c:pt>
                <c:pt idx="13">
                  <c:v>26.227436823104693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98-4AF7-B853-764D0BFBE7BB}"/>
            </c:ext>
          </c:extLst>
        </c:ser>
        <c:ser>
          <c:idx val="2"/>
          <c:order val="1"/>
          <c:tx>
            <c:v>Sedimentation d&lt; 63µm</c:v>
          </c:tx>
          <c:spPr>
            <a:ln w="19050">
              <a:solidFill>
                <a:srgbClr val="3366FF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'130'!$Q$4:$Q$12</c:f>
              <c:numCache>
                <c:formatCode>0.0000</c:formatCode>
                <c:ptCount val="9"/>
                <c:pt idx="0">
                  <c:v>7.2272853226536871E-2</c:v>
                </c:pt>
                <c:pt idx="1">
                  <c:v>5.1945141044252595E-2</c:v>
                </c:pt>
                <c:pt idx="2">
                  <c:v>3.8253407500316326E-2</c:v>
                </c:pt>
                <c:pt idx="3">
                  <c:v>2.4676943747260767E-2</c:v>
                </c:pt>
                <c:pt idx="4">
                  <c:v>1.4789592171616392E-2</c:v>
                </c:pt>
                <c:pt idx="5">
                  <c:v>8.7412971400132305E-3</c:v>
                </c:pt>
                <c:pt idx="6">
                  <c:v>5.474139401966378E-3</c:v>
                </c:pt>
                <c:pt idx="7">
                  <c:v>3.1949114018161979E-3</c:v>
                </c:pt>
                <c:pt idx="8">
                  <c:v>1.6144800762828164E-3</c:v>
                </c:pt>
              </c:numCache>
            </c:numRef>
          </c:xVal>
          <c:yVal>
            <c:numRef>
              <c:f>'130'!$S$4:$S$12</c:f>
              <c:numCache>
                <c:formatCode>0.0</c:formatCode>
                <c:ptCount val="9"/>
                <c:pt idx="0">
                  <c:v>22.849981651150618</c:v>
                </c:pt>
                <c:pt idx="1">
                  <c:v>21.353851900182285</c:v>
                </c:pt>
                <c:pt idx="2">
                  <c:v>17.409509829448091</c:v>
                </c:pt>
                <c:pt idx="3">
                  <c:v>15.369332896309565</c:v>
                </c:pt>
                <c:pt idx="4">
                  <c:v>11.288979030032518</c:v>
                </c:pt>
                <c:pt idx="5">
                  <c:v>8.5687431191812546</c:v>
                </c:pt>
                <c:pt idx="6">
                  <c:v>5.8485072083299912</c:v>
                </c:pt>
                <c:pt idx="7">
                  <c:v>4.4883892529045104</c:v>
                </c:pt>
                <c:pt idx="8">
                  <c:v>3.1282712974787268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98-4AF7-B853-764D0BFB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27712"/>
        <c:axId val="127430016"/>
      </c:scatterChart>
      <c:valAx>
        <c:axId val="1274277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7430016"/>
        <c:crosses val="autoZero"/>
        <c:crossBetween val="midCat"/>
      </c:valAx>
      <c:valAx>
        <c:axId val="12743001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74277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4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'131'!$B$11:$B$24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94.742783422028708</c:v>
                </c:pt>
                <c:pt idx="3">
                  <c:v>90.146750524109024</c:v>
                </c:pt>
                <c:pt idx="4">
                  <c:v>73.504273504273513</c:v>
                </c:pt>
                <c:pt idx="5">
                  <c:v>69.004999193678458</c:v>
                </c:pt>
                <c:pt idx="6">
                  <c:v>57.023060796645716</c:v>
                </c:pt>
                <c:pt idx="7">
                  <c:v>43.670375745847458</c:v>
                </c:pt>
                <c:pt idx="8">
                  <c:v>30.656345750685393</c:v>
                </c:pt>
                <c:pt idx="9">
                  <c:v>19.464602483470426</c:v>
                </c:pt>
                <c:pt idx="10">
                  <c:v>13.530075794226754</c:v>
                </c:pt>
                <c:pt idx="11">
                  <c:v>8.4179970972423988</c:v>
                </c:pt>
                <c:pt idx="12">
                  <c:v>6.3215610385421899</c:v>
                </c:pt>
                <c:pt idx="13">
                  <c:v>5.9184002580229187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5-40D6-A1EE-0E1ED3770B4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'131'!$Q$4:$Q$12</c:f>
              <c:numCache>
                <c:formatCode>General</c:formatCode>
                <c:ptCount val="9"/>
              </c:numCache>
            </c:numRef>
          </c:xVal>
          <c:yVal>
            <c:numRef>
              <c:f>'131'!$S$4:$S$12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5-40D6-A1EE-0E1ED3770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05312"/>
        <c:axId val="127814272"/>
      </c:scatterChart>
      <c:valAx>
        <c:axId val="1278053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7814272"/>
        <c:crosses val="autoZero"/>
        <c:crossBetween val="midCat"/>
      </c:valAx>
      <c:valAx>
        <c:axId val="12781427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78053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5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'132'!$B$11:$B$24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'132'!$G$11:$G$24</c:f>
              <c:numCache>
                <c:formatCode>0.0</c:formatCode>
                <c:ptCount val="14"/>
                <c:pt idx="0">
                  <c:v>100</c:v>
                </c:pt>
                <c:pt idx="1">
                  <c:v>90.826745718050063</c:v>
                </c:pt>
                <c:pt idx="2">
                  <c:v>90.826745718050063</c:v>
                </c:pt>
                <c:pt idx="3">
                  <c:v>81.357048748353094</c:v>
                </c:pt>
                <c:pt idx="4">
                  <c:v>72.579051383399218</c:v>
                </c:pt>
                <c:pt idx="5">
                  <c:v>70.833333333333343</c:v>
                </c:pt>
                <c:pt idx="6">
                  <c:v>64.146903820816874</c:v>
                </c:pt>
                <c:pt idx="7">
                  <c:v>55.220685111989475</c:v>
                </c:pt>
                <c:pt idx="8">
                  <c:v>44.828722002635068</c:v>
                </c:pt>
                <c:pt idx="9">
                  <c:v>27.437417654808982</c:v>
                </c:pt>
                <c:pt idx="10">
                  <c:v>17.934782608695677</c:v>
                </c:pt>
                <c:pt idx="11">
                  <c:v>8.8603425559947624</c:v>
                </c:pt>
                <c:pt idx="12">
                  <c:v>6.587615283267489</c:v>
                </c:pt>
                <c:pt idx="13">
                  <c:v>5.8959156785244078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B-4DBF-BB09-6587209B691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'132'!$Q$4:$Q$12</c:f>
              <c:numCache>
                <c:formatCode>General</c:formatCode>
                <c:ptCount val="9"/>
              </c:numCache>
            </c:numRef>
          </c:xVal>
          <c:yVal>
            <c:numRef>
              <c:f>'132'!$S$4:$S$12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9B-4DBF-BB09-6587209B6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05856"/>
        <c:axId val="128116608"/>
      </c:scatterChart>
      <c:valAx>
        <c:axId val="1281058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8116608"/>
        <c:crosses val="autoZero"/>
        <c:crossBetween val="midCat"/>
      </c:valAx>
      <c:valAx>
        <c:axId val="1281166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81058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de-DE" sz="1600" b="1"/>
            </a:pPr>
            <a:r>
              <a:rPr lang="de-DE" sz="1600" b="1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843548240227244E-2"/>
          <c:y val="0.1749640410472193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19050">
              <a:solidFill>
                <a:schemeClr val="accent2"/>
              </a:solidFill>
              <a:prstDash val="solid"/>
            </a:ln>
          </c:spPr>
          <c:marker>
            <c:symbol val="square"/>
            <c:size val="3"/>
          </c:marker>
          <c:xVal>
            <c:numRef>
              <c:f>'133'!$B$11:$B$24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'133'!$G$11:$G$24</c:f>
              <c:numCache>
                <c:formatCode>0.0</c:formatCode>
                <c:ptCount val="14"/>
                <c:pt idx="0">
                  <c:v>100</c:v>
                </c:pt>
                <c:pt idx="1">
                  <c:v>89.1670459717797</c:v>
                </c:pt>
                <c:pt idx="2">
                  <c:v>89.1670459717797</c:v>
                </c:pt>
                <c:pt idx="3">
                  <c:v>82.794720072826578</c:v>
                </c:pt>
                <c:pt idx="4">
                  <c:v>72.439690487027761</c:v>
                </c:pt>
                <c:pt idx="5">
                  <c:v>68.593536640873921</c:v>
                </c:pt>
                <c:pt idx="6">
                  <c:v>58.397815202548919</c:v>
                </c:pt>
                <c:pt idx="7">
                  <c:v>42.239417387346364</c:v>
                </c:pt>
                <c:pt idx="8">
                  <c:v>32.066454255803357</c:v>
                </c:pt>
                <c:pt idx="9">
                  <c:v>23.532089212562575</c:v>
                </c:pt>
                <c:pt idx="10">
                  <c:v>18.548020027309963</c:v>
                </c:pt>
                <c:pt idx="11">
                  <c:v>12.721893491124264</c:v>
                </c:pt>
                <c:pt idx="12">
                  <c:v>8.5571233500227599</c:v>
                </c:pt>
                <c:pt idx="13">
                  <c:v>7.5102412380518855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18-47D0-B111-5F1C8E36952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'133'!$Q$4:$Q$12</c:f>
              <c:numCache>
                <c:formatCode>General</c:formatCode>
                <c:ptCount val="9"/>
              </c:numCache>
            </c:numRef>
          </c:xVal>
          <c:yVal>
            <c:numRef>
              <c:f>'133'!$S$4:$S$12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18-47D0-B111-5F1C8E369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016768"/>
        <c:axId val="128246912"/>
      </c:scatterChart>
      <c:valAx>
        <c:axId val="1280167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4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28246912"/>
        <c:crosses val="autoZero"/>
        <c:crossBetween val="midCat"/>
      </c:valAx>
      <c:valAx>
        <c:axId val="1282469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de-DE" sz="1400" b="1"/>
                </a:pPr>
                <a:r>
                  <a:rPr lang="de-DE" sz="1400" b="1"/>
                  <a:t>Siebdurchgang a</a:t>
                </a:r>
                <a:r>
                  <a:rPr lang="de-DE" sz="1400" b="1" baseline="-25000"/>
                  <a:t>tot</a:t>
                </a:r>
                <a:r>
                  <a:rPr lang="de-DE" sz="1400" b="1"/>
                  <a:t>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de-DE" sz="1200"/>
            </a:pPr>
            <a:endParaRPr lang="de-DE"/>
          </a:p>
        </c:txPr>
        <c:crossAx val="1280167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de-DE" sz="1200"/>
          </a:pPr>
          <a:endParaRPr lang="de-DE"/>
        </a:p>
      </c:tx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'136'!$B$11:$B$24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99.854280510018228</c:v>
                </c:pt>
                <c:pt idx="6">
                  <c:v>99.78142076502732</c:v>
                </c:pt>
                <c:pt idx="7">
                  <c:v>99.708561020036427</c:v>
                </c:pt>
                <c:pt idx="8">
                  <c:v>99.052823315118388</c:v>
                </c:pt>
                <c:pt idx="9">
                  <c:v>97.996357012750437</c:v>
                </c:pt>
                <c:pt idx="10">
                  <c:v>95.737704918032776</c:v>
                </c:pt>
                <c:pt idx="11">
                  <c:v>81.639344262295083</c:v>
                </c:pt>
                <c:pt idx="12">
                  <c:v>68.451730418943527</c:v>
                </c:pt>
                <c:pt idx="13">
                  <c:v>66.48451730418941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9-4B17-B303-6A6BD5DD77B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'136'!$Q$4:$Q$12</c:f>
              <c:numCache>
                <c:formatCode>0.0000</c:formatCode>
                <c:ptCount val="9"/>
                <c:pt idx="0">
                  <c:v>7.5144164916538359E-2</c:v>
                </c:pt>
                <c:pt idx="1">
                  <c:v>5.3817628392684176E-2</c:v>
                </c:pt>
                <c:pt idx="2">
                  <c:v>3.9467583038148818E-2</c:v>
                </c:pt>
                <c:pt idx="3">
                  <c:v>2.5107319269097102E-2</c:v>
                </c:pt>
                <c:pt idx="4">
                  <c:v>1.4909556929879223E-2</c:v>
                </c:pt>
                <c:pt idx="5">
                  <c:v>8.7017720838800452E-3</c:v>
                </c:pt>
                <c:pt idx="6">
                  <c:v>5.3571952127071274E-3</c:v>
                </c:pt>
                <c:pt idx="7">
                  <c:v>3.1093282805766823E-3</c:v>
                </c:pt>
                <c:pt idx="8">
                  <c:v>2.1393925843353327E-3</c:v>
                </c:pt>
              </c:numCache>
            </c:numRef>
          </c:xVal>
          <c:yVal>
            <c:numRef>
              <c:f>'136'!$S$4:$S$12</c:f>
              <c:numCache>
                <c:formatCode>0.0</c:formatCode>
                <c:ptCount val="9"/>
                <c:pt idx="0">
                  <c:v>30.692274237851048</c:v>
                </c:pt>
                <c:pt idx="1">
                  <c:v>28.113091528787638</c:v>
                </c:pt>
                <c:pt idx="2">
                  <c:v>20.375543401598549</c:v>
                </c:pt>
                <c:pt idx="3">
                  <c:v>19.085952047067128</c:v>
                </c:pt>
                <c:pt idx="4">
                  <c:v>12.637995274408887</c:v>
                </c:pt>
                <c:pt idx="5">
                  <c:v>10.058812565346045</c:v>
                </c:pt>
                <c:pt idx="6">
                  <c:v>8.7692212108146261</c:v>
                </c:pt>
                <c:pt idx="7">
                  <c:v>7.4796298562826324</c:v>
                </c:pt>
                <c:pt idx="8">
                  <c:v>6.1900385017512143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9-4B17-B303-6A6BD5DD7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976768"/>
        <c:axId val="128979328"/>
      </c:scatterChart>
      <c:valAx>
        <c:axId val="12897676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979328"/>
        <c:crosses val="autoZero"/>
        <c:crossBetween val="midCat"/>
      </c:valAx>
      <c:valAx>
        <c:axId val="12897932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97676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6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'137'!$B$11:$B$24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99.33534743202415</c:v>
                </c:pt>
                <c:pt idx="6">
                  <c:v>98.247734138972788</c:v>
                </c:pt>
                <c:pt idx="7">
                  <c:v>95.558912386706922</c:v>
                </c:pt>
                <c:pt idx="8">
                  <c:v>87.794561933534723</c:v>
                </c:pt>
                <c:pt idx="9">
                  <c:v>69.758308157099691</c:v>
                </c:pt>
                <c:pt idx="10">
                  <c:v>49.30513595166164</c:v>
                </c:pt>
                <c:pt idx="11">
                  <c:v>28.217522658610303</c:v>
                </c:pt>
                <c:pt idx="12">
                  <c:v>24.622356495468299</c:v>
                </c:pt>
                <c:pt idx="13">
                  <c:v>23.897280966767383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6-4BCA-A834-F136299F00B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'137'!$S$4:$S$12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C6-4BCA-A834-F136299F0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484480"/>
        <c:axId val="128486784"/>
      </c:scatterChart>
      <c:valAx>
        <c:axId val="1284844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486784"/>
        <c:crosses val="autoZero"/>
        <c:crossBetween val="midCat"/>
      </c:valAx>
      <c:valAx>
        <c:axId val="1284867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4844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40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'138'!$B$11:$B$24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86.339313818067367</c:v>
                </c:pt>
                <c:pt idx="3">
                  <c:v>71.230720805791634</c:v>
                </c:pt>
                <c:pt idx="4">
                  <c:v>61.441611583254655</c:v>
                </c:pt>
                <c:pt idx="5">
                  <c:v>58.168083097261587</c:v>
                </c:pt>
                <c:pt idx="6">
                  <c:v>49.10292728989613</c:v>
                </c:pt>
                <c:pt idx="7">
                  <c:v>39.156436890147951</c:v>
                </c:pt>
                <c:pt idx="8">
                  <c:v>33.396285804217825</c:v>
                </c:pt>
                <c:pt idx="9">
                  <c:v>26.093799181617893</c:v>
                </c:pt>
                <c:pt idx="10">
                  <c:v>16.493547371734358</c:v>
                </c:pt>
                <c:pt idx="11">
                  <c:v>11.016682404784413</c:v>
                </c:pt>
                <c:pt idx="12">
                  <c:v>8.8762983947120144</c:v>
                </c:pt>
                <c:pt idx="13">
                  <c:v>8.2467736858671916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CA-45D4-9AFF-6B79137893A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'138'!$S$4:$S$12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CA-45D4-9AFF-6B791378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784"/>
        <c:axId val="128617088"/>
      </c:scatterChart>
      <c:valAx>
        <c:axId val="1286147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617088"/>
        <c:crosses val="autoZero"/>
        <c:crossBetween val="midCat"/>
      </c:valAx>
      <c:valAx>
        <c:axId val="1286170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6147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'139'!$B$11:$B$24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'139'!$G$11:$G$24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81.417322834645674</c:v>
                </c:pt>
                <c:pt idx="3">
                  <c:v>76.259842519685051</c:v>
                </c:pt>
                <c:pt idx="4">
                  <c:v>76.259842519685051</c:v>
                </c:pt>
                <c:pt idx="5">
                  <c:v>76.259842519685051</c:v>
                </c:pt>
                <c:pt idx="6">
                  <c:v>76.181102362204712</c:v>
                </c:pt>
                <c:pt idx="7">
                  <c:v>75.748031496062964</c:v>
                </c:pt>
                <c:pt idx="8">
                  <c:v>74.488188976377927</c:v>
                </c:pt>
                <c:pt idx="9">
                  <c:v>69.999999999999957</c:v>
                </c:pt>
                <c:pt idx="10">
                  <c:v>63.740157480314927</c:v>
                </c:pt>
                <c:pt idx="11">
                  <c:v>56.062992125984223</c:v>
                </c:pt>
                <c:pt idx="12">
                  <c:v>53.661417322834609</c:v>
                </c:pt>
                <c:pt idx="13">
                  <c:v>53.149606299212557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E1-4B6F-BAAA-E70F77AA308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'139'!$Q$4:$Q$12</c:f>
              <c:numCache>
                <c:formatCode>0.0000</c:formatCode>
                <c:ptCount val="9"/>
                <c:pt idx="0">
                  <c:v>8.0874717728207299E-2</c:v>
                </c:pt>
                <c:pt idx="1">
                  <c:v>5.7505366414484872E-2</c:v>
                </c:pt>
                <c:pt idx="2">
                  <c:v>4.0886271223478703E-2</c:v>
                </c:pt>
                <c:pt idx="3">
                  <c:v>2.6139581918733182E-2</c:v>
                </c:pt>
                <c:pt idx="4">
                  <c:v>1.5252110410785566E-2</c:v>
                </c:pt>
                <c:pt idx="5">
                  <c:v>8.8517547066449091E-3</c:v>
                </c:pt>
                <c:pt idx="6">
                  <c:v>5.5168146949420467E-3</c:v>
                </c:pt>
                <c:pt idx="7">
                  <c:v>3.1457278989187997E-3</c:v>
                </c:pt>
                <c:pt idx="8">
                  <c:v>2.1284256035470515E-3</c:v>
                </c:pt>
              </c:numCache>
            </c:numRef>
          </c:xVal>
          <c:yVal>
            <c:numRef>
              <c:f>'139'!$S$4:$S$12</c:f>
              <c:numCache>
                <c:formatCode>0.0</c:formatCode>
                <c:ptCount val="9"/>
                <c:pt idx="0">
                  <c:v>43.79415517724275</c:v>
                </c:pt>
                <c:pt idx="1">
                  <c:v>40.082786094425948</c:v>
                </c:pt>
                <c:pt idx="2">
                  <c:v>36.371417011607491</c:v>
                </c:pt>
                <c:pt idx="3">
                  <c:v>28.94867884597388</c:v>
                </c:pt>
                <c:pt idx="4">
                  <c:v>21.525940680338621</c:v>
                </c:pt>
                <c:pt idx="5">
                  <c:v>17.814571597521816</c:v>
                </c:pt>
                <c:pt idx="6">
                  <c:v>14.103202514705009</c:v>
                </c:pt>
                <c:pt idx="7">
                  <c:v>12.544427499921779</c:v>
                </c:pt>
                <c:pt idx="8">
                  <c:v>10.391833431888205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E1-4B6F-BAAA-E70F77AA3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44224"/>
        <c:axId val="129505152"/>
      </c:scatterChart>
      <c:valAx>
        <c:axId val="1286442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505152"/>
        <c:crosses val="autoZero"/>
        <c:crossBetween val="midCat"/>
      </c:valAx>
      <c:valAx>
        <c:axId val="1295051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86442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95.584781587599807</c:v>
                </c:pt>
                <c:pt idx="4">
                  <c:v>92.766557069046499</c:v>
                </c:pt>
                <c:pt idx="5">
                  <c:v>92.484734617191151</c:v>
                </c:pt>
                <c:pt idx="6">
                  <c:v>89.384687646782496</c:v>
                </c:pt>
                <c:pt idx="7">
                  <c:v>87.834664161578175</c:v>
                </c:pt>
                <c:pt idx="8">
                  <c:v>85.110380460309969</c:v>
                </c:pt>
                <c:pt idx="9">
                  <c:v>77.829967120713917</c:v>
                </c:pt>
                <c:pt idx="10">
                  <c:v>68.248003757632674</c:v>
                </c:pt>
                <c:pt idx="11">
                  <c:v>58.900892437764206</c:v>
                </c:pt>
                <c:pt idx="12">
                  <c:v>57.209957726632211</c:v>
                </c:pt>
                <c:pt idx="13">
                  <c:v>56.646312822921551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2C-4432-84D9-748E3FD5882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'140'!$Q$4:$Q$12</c:f>
              <c:numCache>
                <c:formatCode>0.0000</c:formatCode>
                <c:ptCount val="9"/>
                <c:pt idx="0">
                  <c:v>8.166300652902321E-2</c:v>
                </c:pt>
                <c:pt idx="1">
                  <c:v>5.8373261712797345E-2</c:v>
                </c:pt>
                <c:pt idx="2">
                  <c:v>4.1716016398392002E-2</c:v>
                </c:pt>
                <c:pt idx="3">
                  <c:v>2.6658831233243925E-2</c:v>
                </c:pt>
                <c:pt idx="4">
                  <c:v>1.5470344956870377E-2</c:v>
                </c:pt>
                <c:pt idx="5">
                  <c:v>8.9771076496757557E-3</c:v>
                </c:pt>
                <c:pt idx="6">
                  <c:v>5.5249343597756576E-3</c:v>
                </c:pt>
                <c:pt idx="7">
                  <c:v>3.2056786178051421E-3</c:v>
                </c:pt>
                <c:pt idx="8">
                  <c:v>1.6107284253842212E-3</c:v>
                </c:pt>
              </c:numCache>
            </c:numRef>
          </c:xVal>
          <c:yVal>
            <c:numRef>
              <c:f>'140'!$S$4:$S$12</c:f>
              <c:numCache>
                <c:formatCode>0.0</c:formatCode>
                <c:ptCount val="9"/>
                <c:pt idx="0">
                  <c:v>55.035718070004648</c:v>
                </c:pt>
                <c:pt idx="1">
                  <c:v>43.803938872045372</c:v>
                </c:pt>
                <c:pt idx="2">
                  <c:v>32.572159674083615</c:v>
                </c:pt>
                <c:pt idx="3">
                  <c:v>21.340380476124349</c:v>
                </c:pt>
                <c:pt idx="4">
                  <c:v>15.724490877144714</c:v>
                </c:pt>
                <c:pt idx="5">
                  <c:v>10.108601278163835</c:v>
                </c:pt>
                <c:pt idx="6">
                  <c:v>4.4927116791842012</c:v>
                </c:pt>
                <c:pt idx="7">
                  <c:v>-1.1231779197966787</c:v>
                </c:pt>
                <c:pt idx="8">
                  <c:v>-6.739067518776312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2C-4432-84D9-748E3FD5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27392"/>
        <c:axId val="129234048"/>
      </c:scatterChart>
      <c:valAx>
        <c:axId val="1292273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234048"/>
        <c:crosses val="autoZero"/>
        <c:crossBetween val="midCat"/>
      </c:valAx>
      <c:valAx>
        <c:axId val="1292340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2273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94.9748743718593</c:v>
                </c:pt>
                <c:pt idx="4">
                  <c:v>91.903964265773311</c:v>
                </c:pt>
                <c:pt idx="5">
                  <c:v>89.893914014517023</c:v>
                </c:pt>
                <c:pt idx="6">
                  <c:v>87.632607481853697</c:v>
                </c:pt>
                <c:pt idx="7">
                  <c:v>85.510887772194295</c:v>
                </c:pt>
                <c:pt idx="8">
                  <c:v>83.50083752093802</c:v>
                </c:pt>
                <c:pt idx="9">
                  <c:v>80.318257956448903</c:v>
                </c:pt>
                <c:pt idx="10">
                  <c:v>75.907314349525393</c:v>
                </c:pt>
                <c:pt idx="11">
                  <c:v>62.479061976549417</c:v>
                </c:pt>
                <c:pt idx="12">
                  <c:v>48.576214405360133</c:v>
                </c:pt>
                <c:pt idx="13">
                  <c:v>46.063651591289783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D-4D27-AD0D-0C79C4C92D3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'141'!$Q$4:$Q$12</c:f>
              <c:numCache>
                <c:formatCode>0.0000</c:formatCode>
                <c:ptCount val="9"/>
                <c:pt idx="0">
                  <c:v>7.0996137111629637E-2</c:v>
                </c:pt>
                <c:pt idx="1">
                  <c:v>5.3800570365150478E-2</c:v>
                </c:pt>
                <c:pt idx="2">
                  <c:v>3.9727158922302108E-2</c:v>
                </c:pt>
                <c:pt idx="3">
                  <c:v>2.6004075409877658E-2</c:v>
                </c:pt>
                <c:pt idx="4">
                  <c:v>1.5260717279738593E-2</c:v>
                </c:pt>
                <c:pt idx="5">
                  <c:v>8.9503277604688625E-3</c:v>
                </c:pt>
                <c:pt idx="6">
                  <c:v>5.5381105329315658E-3</c:v>
                </c:pt>
                <c:pt idx="7">
                  <c:v>3.2136461448360192E-3</c:v>
                </c:pt>
                <c:pt idx="8">
                  <c:v>0</c:v>
                </c:pt>
              </c:numCache>
            </c:numRef>
          </c:xVal>
          <c:yVal>
            <c:numRef>
              <c:f>'141'!$S$4:$S$12</c:f>
              <c:numCache>
                <c:formatCode>0.0</c:formatCode>
                <c:ptCount val="9"/>
                <c:pt idx="0">
                  <c:v>33.532699730536436</c:v>
                </c:pt>
                <c:pt idx="1">
                  <c:v>23.480931226179113</c:v>
                </c:pt>
                <c:pt idx="2">
                  <c:v>16.444693273128724</c:v>
                </c:pt>
                <c:pt idx="3">
                  <c:v>10.413632170514417</c:v>
                </c:pt>
                <c:pt idx="4">
                  <c:v>7.3981016192070417</c:v>
                </c:pt>
                <c:pt idx="5">
                  <c:v>4.4026746049085137</c:v>
                </c:pt>
                <c:pt idx="6">
                  <c:v>2.3722173670283806</c:v>
                </c:pt>
                <c:pt idx="7">
                  <c:v>1.3670405165925144</c:v>
                </c:pt>
                <c:pt idx="8">
                  <c:v>-1.6484900347146381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D-4D27-AD0D-0C79C4C9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61792"/>
        <c:axId val="129364352"/>
      </c:scatterChart>
      <c:valAx>
        <c:axId val="1293617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364352"/>
        <c:crosses val="autoZero"/>
        <c:crossBetween val="midCat"/>
      </c:valAx>
      <c:valAx>
        <c:axId val="1293643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3617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2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80.925401322001889</c:v>
                </c:pt>
                <c:pt idx="3">
                  <c:v>69.719861504564051</c:v>
                </c:pt>
                <c:pt idx="4">
                  <c:v>51.935788479697834</c:v>
                </c:pt>
                <c:pt idx="5">
                  <c:v>50.991501416430602</c:v>
                </c:pt>
                <c:pt idx="6">
                  <c:v>42.839156436890129</c:v>
                </c:pt>
                <c:pt idx="7">
                  <c:v>34.907145105445373</c:v>
                </c:pt>
                <c:pt idx="8">
                  <c:v>30.81523449795403</c:v>
                </c:pt>
                <c:pt idx="9">
                  <c:v>27.447277305634238</c:v>
                </c:pt>
                <c:pt idx="10">
                  <c:v>22.788794460182551</c:v>
                </c:pt>
                <c:pt idx="11">
                  <c:v>15.077116776833481</c:v>
                </c:pt>
                <c:pt idx="12">
                  <c:v>11.111111111111097</c:v>
                </c:pt>
                <c:pt idx="13">
                  <c:v>9.8205854579792042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9A-4B5F-85E0-094B119B5FB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9A-4B5F-85E0-094B119B5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393792"/>
        <c:axId val="129396096"/>
      </c:scatterChart>
      <c:valAx>
        <c:axId val="1293937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396096"/>
        <c:crosses val="autoZero"/>
        <c:crossBetween val="midCat"/>
      </c:valAx>
      <c:valAx>
        <c:axId val="1293960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3937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1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88.459319099826885</c:v>
                </c:pt>
                <c:pt idx="3">
                  <c:v>88.459319099826885</c:v>
                </c:pt>
                <c:pt idx="4">
                  <c:v>80.553952683208308</c:v>
                </c:pt>
                <c:pt idx="5">
                  <c:v>79.688401615695327</c:v>
                </c:pt>
                <c:pt idx="6">
                  <c:v>74.03346797461046</c:v>
                </c:pt>
                <c:pt idx="7">
                  <c:v>61.858049624927844</c:v>
                </c:pt>
                <c:pt idx="8">
                  <c:v>51.933064050778967</c:v>
                </c:pt>
                <c:pt idx="9">
                  <c:v>38.084246970571229</c:v>
                </c:pt>
                <c:pt idx="10">
                  <c:v>25.851125216387732</c:v>
                </c:pt>
                <c:pt idx="11">
                  <c:v>16.849394114252721</c:v>
                </c:pt>
                <c:pt idx="12">
                  <c:v>12.810155799192131</c:v>
                </c:pt>
                <c:pt idx="13">
                  <c:v>10.675129832660112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C-469C-9D8C-189DA110E6E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469C-9D8C-189DA110E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1424"/>
        <c:axId val="129571456"/>
      </c:scatterChart>
      <c:valAx>
        <c:axId val="1294314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8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571456"/>
        <c:crosses val="autoZero"/>
        <c:crossBetween val="midCat"/>
      </c:valAx>
      <c:valAx>
        <c:axId val="1295714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4314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78.648540583766504</c:v>
                </c:pt>
                <c:pt idx="3">
                  <c:v>64.774090363854469</c:v>
                </c:pt>
                <c:pt idx="4">
                  <c:v>60.615753698520606</c:v>
                </c:pt>
                <c:pt idx="5">
                  <c:v>59.376249500199926</c:v>
                </c:pt>
                <c:pt idx="6">
                  <c:v>53.09876049580167</c:v>
                </c:pt>
                <c:pt idx="7">
                  <c:v>47.021191523390641</c:v>
                </c:pt>
                <c:pt idx="8">
                  <c:v>40.503798480607749</c:v>
                </c:pt>
                <c:pt idx="9">
                  <c:v>33.386645341863243</c:v>
                </c:pt>
                <c:pt idx="10">
                  <c:v>27.02918832467013</c:v>
                </c:pt>
                <c:pt idx="11">
                  <c:v>19.272291083566582</c:v>
                </c:pt>
                <c:pt idx="12">
                  <c:v>12.834866053578569</c:v>
                </c:pt>
                <c:pt idx="13">
                  <c:v>9.5161935225909602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BF-4B38-85CB-B95EF244EDF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BF-4B38-85CB-B95EF244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10496"/>
        <c:axId val="130017152"/>
      </c:scatterChart>
      <c:valAx>
        <c:axId val="1300104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017152"/>
        <c:crosses val="autoZero"/>
        <c:crossBetween val="midCat"/>
      </c:valAx>
      <c:valAx>
        <c:axId val="1300171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0104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4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97.810218978102185</c:v>
                </c:pt>
                <c:pt idx="4">
                  <c:v>87.043795620437947</c:v>
                </c:pt>
                <c:pt idx="5">
                  <c:v>86.4051094890511</c:v>
                </c:pt>
                <c:pt idx="6">
                  <c:v>85.127737226277347</c:v>
                </c:pt>
                <c:pt idx="7">
                  <c:v>81.934306569343022</c:v>
                </c:pt>
                <c:pt idx="8">
                  <c:v>75.045620437956174</c:v>
                </c:pt>
                <c:pt idx="9">
                  <c:v>57.618613138686115</c:v>
                </c:pt>
                <c:pt idx="10">
                  <c:v>36.177007299270066</c:v>
                </c:pt>
                <c:pt idx="11">
                  <c:v>17.883211678832133</c:v>
                </c:pt>
                <c:pt idx="12">
                  <c:v>14.689781021897828</c:v>
                </c:pt>
                <c:pt idx="13">
                  <c:v>13.731751824817525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B-49D0-80A7-0680A8C561B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CB-49D0-80A7-0680A8C5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08416"/>
        <c:axId val="129950848"/>
      </c:scatterChart>
      <c:valAx>
        <c:axId val="12970841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89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950848"/>
        <c:crosses val="autoZero"/>
        <c:crossBetween val="midCat"/>
      </c:valAx>
      <c:valAx>
        <c:axId val="1299508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2970841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2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98.97398314400877</c:v>
                </c:pt>
                <c:pt idx="7">
                  <c:v>96.042506412605306</c:v>
                </c:pt>
                <c:pt idx="8">
                  <c:v>85.928911689263444</c:v>
                </c:pt>
                <c:pt idx="9">
                  <c:v>60.718211799193824</c:v>
                </c:pt>
                <c:pt idx="10">
                  <c:v>33.418834737999262</c:v>
                </c:pt>
                <c:pt idx="11">
                  <c:v>9.7838035910590051</c:v>
                </c:pt>
                <c:pt idx="12">
                  <c:v>6.8156834005130111</c:v>
                </c:pt>
                <c:pt idx="13">
                  <c:v>6.2660315133748661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C-49A1-AA62-34CEFE92EE3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CC-49A1-AA62-34CEFE92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37632"/>
        <c:axId val="130040192"/>
      </c:scatterChart>
      <c:valAx>
        <c:axId val="1300376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040192"/>
        <c:crosses val="autoZero"/>
        <c:crossBetween val="midCat"/>
      </c:valAx>
      <c:valAx>
        <c:axId val="1300401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0376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99.465716829919842</c:v>
                </c:pt>
                <c:pt idx="6">
                  <c:v>98.842386464826305</c:v>
                </c:pt>
                <c:pt idx="7">
                  <c:v>97.551202137132606</c:v>
                </c:pt>
                <c:pt idx="8">
                  <c:v>94.345503116651756</c:v>
                </c:pt>
                <c:pt idx="9">
                  <c:v>86.46482635796967</c:v>
                </c:pt>
                <c:pt idx="10">
                  <c:v>75.333926981300039</c:v>
                </c:pt>
                <c:pt idx="11">
                  <c:v>58.59305431878893</c:v>
                </c:pt>
                <c:pt idx="12">
                  <c:v>52.448797862867288</c:v>
                </c:pt>
                <c:pt idx="13">
                  <c:v>48.397150489759532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A-4EFD-9130-EA8CE0410CD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'147'!$Q$4:$Q$12</c:f>
              <c:numCache>
                <c:formatCode>0.0000</c:formatCode>
                <c:ptCount val="9"/>
                <c:pt idx="0">
                  <c:v>6.9068611809350283E-2</c:v>
                </c:pt>
                <c:pt idx="1">
                  <c:v>5.3134948579084532E-2</c:v>
                </c:pt>
                <c:pt idx="2">
                  <c:v>3.8531490310680531E-2</c:v>
                </c:pt>
                <c:pt idx="3">
                  <c:v>2.4667248960657352E-2</c:v>
                </c:pt>
                <c:pt idx="4">
                  <c:v>1.4662654988582375E-2</c:v>
                </c:pt>
                <c:pt idx="5">
                  <c:v>8.6550312924977297E-3</c:v>
                </c:pt>
                <c:pt idx="6">
                  <c:v>5.3287253658752922E-3</c:v>
                </c:pt>
                <c:pt idx="7">
                  <c:v>3.1093282805766823E-3</c:v>
                </c:pt>
                <c:pt idx="8">
                  <c:v>1.5708866952945427E-3</c:v>
                </c:pt>
              </c:numCache>
            </c:numRef>
          </c:xVal>
          <c:yVal>
            <c:numRef>
              <c:f>'147'!$S$4:$S$12</c:f>
              <c:numCache>
                <c:formatCode>0.0</c:formatCode>
                <c:ptCount val="9"/>
                <c:pt idx="0">
                  <c:v>39.981170907031327</c:v>
                </c:pt>
                <c:pt idx="1">
                  <c:v>26.579661105791732</c:v>
                </c:pt>
                <c:pt idx="2">
                  <c:v>22.112491172045203</c:v>
                </c:pt>
                <c:pt idx="3">
                  <c:v>19.878906205171685</c:v>
                </c:pt>
                <c:pt idx="4">
                  <c:v>14.29494378798865</c:v>
                </c:pt>
                <c:pt idx="5">
                  <c:v>9.8277738542421194</c:v>
                </c:pt>
                <c:pt idx="6">
                  <c:v>8.7109813708056105</c:v>
                </c:pt>
                <c:pt idx="7">
                  <c:v>6.4773964039320964</c:v>
                </c:pt>
                <c:pt idx="8">
                  <c:v>4.2438114370590787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CA-4EFD-9130-EA8CE0410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1152"/>
        <c:axId val="130563456"/>
      </c:scatterChart>
      <c:valAx>
        <c:axId val="13056115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563456"/>
        <c:crosses val="autoZero"/>
        <c:crossBetween val="midCat"/>
      </c:valAx>
      <c:valAx>
        <c:axId val="1305634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56115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0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99.956331877729241</c:v>
                </c:pt>
                <c:pt idx="7">
                  <c:v>99.650655021834055</c:v>
                </c:pt>
                <c:pt idx="8">
                  <c:v>99.47598253275109</c:v>
                </c:pt>
                <c:pt idx="9">
                  <c:v>98.99563318777291</c:v>
                </c:pt>
                <c:pt idx="10">
                  <c:v>97.598253275109158</c:v>
                </c:pt>
                <c:pt idx="11">
                  <c:v>86.069868995633186</c:v>
                </c:pt>
                <c:pt idx="12">
                  <c:v>79.519650655021834</c:v>
                </c:pt>
                <c:pt idx="13">
                  <c:v>74.017467248908289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4-4B2F-A4E2-E95F93B6345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'148'!$Q$4:$Q$12</c:f>
              <c:numCache>
                <c:formatCode>0.0000</c:formatCode>
                <c:ptCount val="9"/>
                <c:pt idx="0">
                  <c:v>7.9048481999168418E-2</c:v>
                </c:pt>
                <c:pt idx="1">
                  <c:v>5.6545075988078002E-2</c:v>
                </c:pt>
                <c:pt idx="2">
                  <c:v>4.0437358864103649E-2</c:v>
                </c:pt>
                <c:pt idx="3">
                  <c:v>2.5858748419518397E-2</c:v>
                </c:pt>
                <c:pt idx="4">
                  <c:v>1.5010843928696466E-2</c:v>
                </c:pt>
                <c:pt idx="5">
                  <c:v>8.7131939729110618E-3</c:v>
                </c:pt>
                <c:pt idx="6">
                  <c:v>5.3357198158814631E-3</c:v>
                </c:pt>
                <c:pt idx="7">
                  <c:v>3.0969949131224779E-3</c:v>
                </c:pt>
                <c:pt idx="8">
                  <c:v>1.5566620002923238E-3</c:v>
                </c:pt>
              </c:numCache>
            </c:numRef>
          </c:xVal>
          <c:yVal>
            <c:numRef>
              <c:f>'148'!$S$4:$S$12</c:f>
              <c:numCache>
                <c:formatCode>0.0</c:formatCode>
                <c:ptCount val="9"/>
                <c:pt idx="0">
                  <c:v>24.844567530156894</c:v>
                </c:pt>
                <c:pt idx="1">
                  <c:v>21.699685564313882</c:v>
                </c:pt>
                <c:pt idx="2">
                  <c:v>18.554803598471562</c:v>
                </c:pt>
                <c:pt idx="3">
                  <c:v>15.409921632628546</c:v>
                </c:pt>
                <c:pt idx="4">
                  <c:v>13.837480649707386</c:v>
                </c:pt>
                <c:pt idx="5">
                  <c:v>12.265039666786224</c:v>
                </c:pt>
                <c:pt idx="6">
                  <c:v>12.265039666786224</c:v>
                </c:pt>
                <c:pt idx="7">
                  <c:v>10.692598683865066</c:v>
                </c:pt>
                <c:pt idx="8">
                  <c:v>9.12015770094321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4-4B2F-A4E2-E95F93B6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80864"/>
        <c:axId val="130583168"/>
      </c:scatterChart>
      <c:valAx>
        <c:axId val="13058086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583168"/>
        <c:crosses val="autoZero"/>
        <c:crossBetween val="midCat"/>
      </c:valAx>
      <c:valAx>
        <c:axId val="1305831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058086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5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'149'!$B$11:$B$24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'149'!$G$11:$G$24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85.296831744078759</c:v>
                </c:pt>
                <c:pt idx="3">
                  <c:v>85.296831744078759</c:v>
                </c:pt>
                <c:pt idx="4">
                  <c:v>80.990464472470023</c:v>
                </c:pt>
                <c:pt idx="5">
                  <c:v>79.883112888342055</c:v>
                </c:pt>
                <c:pt idx="6">
                  <c:v>78.068286681021206</c:v>
                </c:pt>
                <c:pt idx="7">
                  <c:v>72.992925253768036</c:v>
                </c:pt>
                <c:pt idx="8">
                  <c:v>62.380805905875086</c:v>
                </c:pt>
                <c:pt idx="9">
                  <c:v>44.26330359889262</c:v>
                </c:pt>
                <c:pt idx="10">
                  <c:v>27.160873577360803</c:v>
                </c:pt>
                <c:pt idx="11">
                  <c:v>11.165795139956936</c:v>
                </c:pt>
                <c:pt idx="12">
                  <c:v>5.5059981544140193</c:v>
                </c:pt>
                <c:pt idx="13">
                  <c:v>4.2140879729314022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5-4BFE-9A02-C4E60D0D604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'149'!$Q$4:$Q$12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'149'!$S$4:$S$12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15-4BFE-9A02-C4E60D0D6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79680"/>
        <c:axId val="132290432"/>
      </c:scatterChart>
      <c:valAx>
        <c:axId val="1322796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290432"/>
        <c:crosses val="autoZero"/>
        <c:crossBetween val="midCat"/>
      </c:valAx>
      <c:valAx>
        <c:axId val="13229043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2796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83.589011773100253</c:v>
                </c:pt>
                <c:pt idx="3">
                  <c:v>78.3446307527649</c:v>
                </c:pt>
                <c:pt idx="4">
                  <c:v>72.136996075633263</c:v>
                </c:pt>
                <c:pt idx="5">
                  <c:v>72.029967891544757</c:v>
                </c:pt>
                <c:pt idx="6">
                  <c:v>69.711023902961102</c:v>
                </c:pt>
                <c:pt idx="7">
                  <c:v>61.398501605422751</c:v>
                </c:pt>
                <c:pt idx="8">
                  <c:v>49.554049232964687</c:v>
                </c:pt>
                <c:pt idx="9">
                  <c:v>38.351765965037458</c:v>
                </c:pt>
                <c:pt idx="10">
                  <c:v>31.644666428826255</c:v>
                </c:pt>
                <c:pt idx="11">
                  <c:v>20.834819835890137</c:v>
                </c:pt>
                <c:pt idx="12">
                  <c:v>14.698537281484132</c:v>
                </c:pt>
                <c:pt idx="13">
                  <c:v>8.7049589725294396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0E-4EA8-B91D-C5CCB9BC3A0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0E-4EA8-B91D-C5CCB9BC3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04256"/>
        <c:axId val="131556480"/>
      </c:scatterChart>
      <c:valAx>
        <c:axId val="1323042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556480"/>
        <c:crosses val="autoZero"/>
        <c:crossBetween val="midCat"/>
      </c:valAx>
      <c:valAx>
        <c:axId val="1315564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3042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75.60321715817696</c:v>
                </c:pt>
                <c:pt idx="3">
                  <c:v>69.019958296097727</c:v>
                </c:pt>
                <c:pt idx="4">
                  <c:v>67.292225201072412</c:v>
                </c:pt>
                <c:pt idx="5">
                  <c:v>66.100685135537702</c:v>
                </c:pt>
                <c:pt idx="6">
                  <c:v>62.257968424188256</c:v>
                </c:pt>
                <c:pt idx="7">
                  <c:v>51.59368483765266</c:v>
                </c:pt>
                <c:pt idx="8">
                  <c:v>43.967828418230567</c:v>
                </c:pt>
                <c:pt idx="9">
                  <c:v>33.512064343163544</c:v>
                </c:pt>
                <c:pt idx="10">
                  <c:v>27.137324992552891</c:v>
                </c:pt>
                <c:pt idx="11">
                  <c:v>15.668751861781374</c:v>
                </c:pt>
                <c:pt idx="12">
                  <c:v>8.9365504915102942</c:v>
                </c:pt>
                <c:pt idx="13">
                  <c:v>6.1364313375037316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E4-4313-94EF-3676BEEC483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E4-4313-94EF-3676BEEC4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71072"/>
        <c:axId val="131604864"/>
      </c:scatterChart>
      <c:valAx>
        <c:axId val="1315710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1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604864"/>
        <c:crosses val="autoZero"/>
        <c:crossBetween val="midCat"/>
      </c:valAx>
      <c:valAx>
        <c:axId val="1316048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5710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7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83.470346447445678</c:v>
                </c:pt>
                <c:pt idx="4">
                  <c:v>67.527891955372866</c:v>
                </c:pt>
                <c:pt idx="5">
                  <c:v>64.445096887844969</c:v>
                </c:pt>
                <c:pt idx="6">
                  <c:v>56.664709336465052</c:v>
                </c:pt>
                <c:pt idx="7">
                  <c:v>45.507927187316476</c:v>
                </c:pt>
                <c:pt idx="8">
                  <c:v>37.727539635936559</c:v>
                </c:pt>
                <c:pt idx="9">
                  <c:v>31.004110393423336</c:v>
                </c:pt>
                <c:pt idx="10">
                  <c:v>20.904286553141489</c:v>
                </c:pt>
                <c:pt idx="11">
                  <c:v>11.186142102172623</c:v>
                </c:pt>
                <c:pt idx="12">
                  <c:v>6.9289489136817251</c:v>
                </c:pt>
                <c:pt idx="13">
                  <c:v>5.5783910745742613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92-45DC-A354-8407C0271B0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92-45DC-A354-8407C027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7616"/>
        <c:axId val="131009920"/>
      </c:scatterChart>
      <c:valAx>
        <c:axId val="13100761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0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009920"/>
        <c:crosses val="autoZero"/>
        <c:crossBetween val="midCat"/>
      </c:valAx>
      <c:valAx>
        <c:axId val="1310099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00761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3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9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94.120517199316907</c:v>
                </c:pt>
                <c:pt idx="3">
                  <c:v>86.630885581849242</c:v>
                </c:pt>
                <c:pt idx="4">
                  <c:v>66.72359111978534</c:v>
                </c:pt>
                <c:pt idx="5">
                  <c:v>64.430348865577002</c:v>
                </c:pt>
                <c:pt idx="6">
                  <c:v>58.233715540375712</c:v>
                </c:pt>
                <c:pt idx="7">
                  <c:v>50.914857282263966</c:v>
                </c:pt>
                <c:pt idx="8">
                  <c:v>41.327152964137596</c:v>
                </c:pt>
                <c:pt idx="9">
                  <c:v>28.689924371798</c:v>
                </c:pt>
                <c:pt idx="10">
                  <c:v>19.248597218833869</c:v>
                </c:pt>
                <c:pt idx="11">
                  <c:v>11.563796047816549</c:v>
                </c:pt>
                <c:pt idx="12">
                  <c:v>7.2700658697243279</c:v>
                </c:pt>
                <c:pt idx="13">
                  <c:v>5.78189802390827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4-4BC6-B3B5-1ACB76E0564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D4-4BC6-B3B5-1ACB76E05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87072"/>
        <c:axId val="131189376"/>
      </c:scatterChart>
      <c:valAx>
        <c:axId val="1311870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189376"/>
        <c:crosses val="autoZero"/>
        <c:crossBetween val="midCat"/>
      </c:valAx>
      <c:valAx>
        <c:axId val="1311893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1870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564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9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80.535211267605632</c:v>
                </c:pt>
                <c:pt idx="3">
                  <c:v>68.056338028169023</c:v>
                </c:pt>
                <c:pt idx="4">
                  <c:v>60.985915492957758</c:v>
                </c:pt>
                <c:pt idx="5">
                  <c:v>58.845070422535215</c:v>
                </c:pt>
                <c:pt idx="6">
                  <c:v>52.253521126760546</c:v>
                </c:pt>
                <c:pt idx="7">
                  <c:v>42.056338028169002</c:v>
                </c:pt>
                <c:pt idx="8">
                  <c:v>30.338028169014084</c:v>
                </c:pt>
                <c:pt idx="9">
                  <c:v>17.859154929577464</c:v>
                </c:pt>
                <c:pt idx="10">
                  <c:v>11.1830985915493</c:v>
                </c:pt>
                <c:pt idx="11">
                  <c:v>7.4366197183098759</c:v>
                </c:pt>
                <c:pt idx="12">
                  <c:v>6.0563380281690211</c:v>
                </c:pt>
                <c:pt idx="13">
                  <c:v>3.7464788732394472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1-47B7-8CBD-39DDE64B5BC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51-47B7-8CBD-39DDE64B5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58080"/>
        <c:axId val="131364736"/>
      </c:scatterChart>
      <c:valAx>
        <c:axId val="13135808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364736"/>
        <c:crosses val="autoZero"/>
        <c:crossBetween val="midCat"/>
      </c:valAx>
      <c:valAx>
        <c:axId val="1313647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135808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564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19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95.435684647302907</c:v>
                </c:pt>
                <c:pt idx="4">
                  <c:v>73.092882221512937</c:v>
                </c:pt>
                <c:pt idx="5">
                  <c:v>68.241302266198531</c:v>
                </c:pt>
                <c:pt idx="6">
                  <c:v>56.559208426428341</c:v>
                </c:pt>
                <c:pt idx="7">
                  <c:v>41.01500159591447</c:v>
                </c:pt>
                <c:pt idx="8">
                  <c:v>27.449728694541989</c:v>
                </c:pt>
                <c:pt idx="9">
                  <c:v>16.629428662623695</c:v>
                </c:pt>
                <c:pt idx="10">
                  <c:v>11.203319502074702</c:v>
                </c:pt>
                <c:pt idx="11">
                  <c:v>7.3092882221513111</c:v>
                </c:pt>
                <c:pt idx="12">
                  <c:v>5.5218640280881068</c:v>
                </c:pt>
                <c:pt idx="13">
                  <c:v>4.1493775933610051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D6-449A-81A7-65007CCE183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D6-449A-81A7-65007CCE1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41856"/>
        <c:axId val="132060288"/>
      </c:scatterChart>
      <c:valAx>
        <c:axId val="1328418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060288"/>
        <c:crosses val="autoZero"/>
        <c:crossBetween val="midCat"/>
      </c:valAx>
      <c:valAx>
        <c:axId val="1320602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8418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564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0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71.745118063937127</c:v>
                </c:pt>
                <c:pt idx="3">
                  <c:v>53.95042243060071</c:v>
                </c:pt>
                <c:pt idx="4">
                  <c:v>37.48646055767032</c:v>
                </c:pt>
                <c:pt idx="5">
                  <c:v>35.97004301674253</c:v>
                </c:pt>
                <c:pt idx="6">
                  <c:v>29.152353541918131</c:v>
                </c:pt>
                <c:pt idx="7">
                  <c:v>21.570265837279116</c:v>
                </c:pt>
                <c:pt idx="8">
                  <c:v>16.494909169684039</c:v>
                </c:pt>
                <c:pt idx="9">
                  <c:v>11.543341689103471</c:v>
                </c:pt>
                <c:pt idx="10">
                  <c:v>8.1700863429579655</c:v>
                </c:pt>
                <c:pt idx="11">
                  <c:v>5.9418809766967131</c:v>
                </c:pt>
                <c:pt idx="12">
                  <c:v>4.8896728870733313</c:v>
                </c:pt>
                <c:pt idx="13">
                  <c:v>3.2185188623773788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17-4769-8C76-9ACCC7D0761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17-4769-8C76-9ACCC7D07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708992"/>
        <c:axId val="132383104"/>
      </c:scatterChart>
      <c:valAx>
        <c:axId val="1327089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383104"/>
        <c:crosses val="autoZero"/>
        <c:crossBetween val="midCat"/>
      </c:valAx>
      <c:valAx>
        <c:axId val="13238310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7089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5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0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88.467317806160779</c:v>
                </c:pt>
                <c:pt idx="4">
                  <c:v>78.700225394440267</c:v>
                </c:pt>
                <c:pt idx="5">
                  <c:v>77.310293012772334</c:v>
                </c:pt>
                <c:pt idx="6">
                  <c:v>69.158527422990204</c:v>
                </c:pt>
                <c:pt idx="7">
                  <c:v>58.414725770097661</c:v>
                </c:pt>
                <c:pt idx="8">
                  <c:v>47.257700976709238</c:v>
                </c:pt>
                <c:pt idx="9">
                  <c:v>37.941397445529674</c:v>
                </c:pt>
                <c:pt idx="10">
                  <c:v>30.916604057099928</c:v>
                </c:pt>
                <c:pt idx="11">
                  <c:v>23.253193087903846</c:v>
                </c:pt>
                <c:pt idx="12">
                  <c:v>16.604057099924866</c:v>
                </c:pt>
                <c:pt idx="13">
                  <c:v>15.214124718256951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6-421E-AD28-4C4982255FE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C6-421E-AD28-4C498225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01792"/>
        <c:axId val="132406656"/>
      </c:scatterChart>
      <c:valAx>
        <c:axId val="13240179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2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406656"/>
        <c:crosses val="autoZero"/>
        <c:crossBetween val="midCat"/>
      </c:valAx>
      <c:valAx>
        <c:axId val="13240665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240179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6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82.177348551360836</c:v>
                </c:pt>
                <c:pt idx="4">
                  <c:v>70.67603160667251</c:v>
                </c:pt>
                <c:pt idx="5">
                  <c:v>69.534679543459148</c:v>
                </c:pt>
                <c:pt idx="6">
                  <c:v>63.125548726953433</c:v>
                </c:pt>
                <c:pt idx="7">
                  <c:v>50.482879719051759</c:v>
                </c:pt>
                <c:pt idx="8">
                  <c:v>38.80597014925371</c:v>
                </c:pt>
                <c:pt idx="9">
                  <c:v>27.655838454784863</c:v>
                </c:pt>
                <c:pt idx="10">
                  <c:v>19.49078138718172</c:v>
                </c:pt>
                <c:pt idx="11">
                  <c:v>12.949956101843714</c:v>
                </c:pt>
                <c:pt idx="12">
                  <c:v>8.8674275680421282</c:v>
                </c:pt>
                <c:pt idx="13">
                  <c:v>7.2870939420544101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D-403D-AB46-69B2D5D5ECA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0D-403D-AB46-69B2D5D5E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98912"/>
        <c:axId val="133401216"/>
      </c:scatterChart>
      <c:valAx>
        <c:axId val="1333989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1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401216"/>
        <c:crosses val="autoZero"/>
        <c:crossBetween val="midCat"/>
      </c:valAx>
      <c:valAx>
        <c:axId val="13340121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3989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6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'159'!$B$11:$B$24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'159'!$G$11:$G$24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86.46590515749395</c:v>
                </c:pt>
                <c:pt idx="3">
                  <c:v>83.939079266182077</c:v>
                </c:pt>
                <c:pt idx="4">
                  <c:v>65.178262374524081</c:v>
                </c:pt>
                <c:pt idx="5">
                  <c:v>63.412945655936326</c:v>
                </c:pt>
                <c:pt idx="6">
                  <c:v>56.52474904811352</c:v>
                </c:pt>
                <c:pt idx="7">
                  <c:v>43.371408791969515</c:v>
                </c:pt>
                <c:pt idx="8">
                  <c:v>32.46798200069226</c:v>
                </c:pt>
                <c:pt idx="9">
                  <c:v>22.291450328833481</c:v>
                </c:pt>
                <c:pt idx="10">
                  <c:v>15.541709934233278</c:v>
                </c:pt>
                <c:pt idx="11">
                  <c:v>10.557286258220827</c:v>
                </c:pt>
                <c:pt idx="12">
                  <c:v>6.9920387677396905</c:v>
                </c:pt>
                <c:pt idx="13">
                  <c:v>5.780546902042218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4F-4359-8E5F-5780A91365E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'159'!$Q$4:$Q$12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'159'!$S$4:$S$12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4F-4359-8E5F-5780A913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14272"/>
        <c:axId val="133572480"/>
      </c:scatterChart>
      <c:valAx>
        <c:axId val="1334142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572480"/>
        <c:crosses val="autoZero"/>
        <c:crossBetween val="midCat"/>
      </c:valAx>
      <c:valAx>
        <c:axId val="1335724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4142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4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81.023368251410147</c:v>
                </c:pt>
                <c:pt idx="3">
                  <c:v>78.283642224012894</c:v>
                </c:pt>
                <c:pt idx="4">
                  <c:v>67.002417405318297</c:v>
                </c:pt>
                <c:pt idx="5">
                  <c:v>65.592264302981476</c:v>
                </c:pt>
                <c:pt idx="6">
                  <c:v>54.63336019339242</c:v>
                </c:pt>
                <c:pt idx="7">
                  <c:v>40.290088638195016</c:v>
                </c:pt>
                <c:pt idx="8">
                  <c:v>31.5068493150685</c:v>
                </c:pt>
                <c:pt idx="9">
                  <c:v>25.906526994359382</c:v>
                </c:pt>
                <c:pt idx="10">
                  <c:v>16.559226430298146</c:v>
                </c:pt>
                <c:pt idx="11">
                  <c:v>6.8090249798549625</c:v>
                </c:pt>
                <c:pt idx="12">
                  <c:v>4.6736502820306232</c:v>
                </c:pt>
                <c:pt idx="13">
                  <c:v>3.5455278001611585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87-4690-A500-31204CA995B8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87-4690-A500-31204CA9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89920"/>
        <c:axId val="133100672"/>
      </c:scatterChart>
      <c:valAx>
        <c:axId val="1330899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100672"/>
        <c:crosses val="autoZero"/>
        <c:crossBetween val="midCat"/>
      </c:valAx>
      <c:valAx>
        <c:axId val="13310067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0899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90.672782874617738</c:v>
                </c:pt>
                <c:pt idx="5">
                  <c:v>87.767584097859327</c:v>
                </c:pt>
                <c:pt idx="6">
                  <c:v>76.261467889908246</c:v>
                </c:pt>
                <c:pt idx="7">
                  <c:v>61.964831804281324</c:v>
                </c:pt>
                <c:pt idx="8">
                  <c:v>50.26758409785932</c:v>
                </c:pt>
                <c:pt idx="9">
                  <c:v>40.252293577981646</c:v>
                </c:pt>
                <c:pt idx="10">
                  <c:v>30.237003058103976</c:v>
                </c:pt>
                <c:pt idx="11">
                  <c:v>20.030581039755358</c:v>
                </c:pt>
                <c:pt idx="12">
                  <c:v>14.870030581039762</c:v>
                </c:pt>
                <c:pt idx="13">
                  <c:v>9.9770642201834896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0C-4C5E-A1FA-D71A8CB97E66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0C-4C5E-A1FA-D71A8CB97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34912"/>
        <c:axId val="133337472"/>
      </c:scatterChart>
      <c:valAx>
        <c:axId val="1333349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337472"/>
        <c:crosses val="autoZero"/>
        <c:crossBetween val="midCat"/>
      </c:valAx>
      <c:valAx>
        <c:axId val="13333747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3349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82.192826252861863</c:v>
                </c:pt>
                <c:pt idx="3">
                  <c:v>75.248028491477996</c:v>
                </c:pt>
                <c:pt idx="4">
                  <c:v>52.124141439837189</c:v>
                </c:pt>
                <c:pt idx="5">
                  <c:v>48.740778427880926</c:v>
                </c:pt>
                <c:pt idx="6">
                  <c:v>40.193335029254619</c:v>
                </c:pt>
                <c:pt idx="7">
                  <c:v>31.264309336046793</c:v>
                </c:pt>
                <c:pt idx="8">
                  <c:v>24.573899771050606</c:v>
                </c:pt>
                <c:pt idx="9">
                  <c:v>16.815059781226132</c:v>
                </c:pt>
                <c:pt idx="10">
                  <c:v>10.379038412617632</c:v>
                </c:pt>
                <c:pt idx="11">
                  <c:v>5.3930297634189639</c:v>
                </c:pt>
                <c:pt idx="12">
                  <c:v>2.849147799542088</c:v>
                </c:pt>
                <c:pt idx="13">
                  <c:v>1.8315950139913375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2-4477-9E37-7C30E093E3C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12-4477-9E37-7C30E093E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10976"/>
        <c:axId val="133713280"/>
      </c:scatterChart>
      <c:valAx>
        <c:axId val="1337109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713280"/>
        <c:crosses val="autoZero"/>
        <c:crossBetween val="midCat"/>
      </c:valAx>
      <c:valAx>
        <c:axId val="1337132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7109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92.339939024390247</c:v>
                </c:pt>
                <c:pt idx="3">
                  <c:v>75.533536585365866</c:v>
                </c:pt>
                <c:pt idx="4">
                  <c:v>59.032012195121979</c:v>
                </c:pt>
                <c:pt idx="5">
                  <c:v>56.364329268292714</c:v>
                </c:pt>
                <c:pt idx="6">
                  <c:v>49.961890243902445</c:v>
                </c:pt>
                <c:pt idx="7">
                  <c:v>42.530487804878035</c:v>
                </c:pt>
                <c:pt idx="8">
                  <c:v>35.975609756097555</c:v>
                </c:pt>
                <c:pt idx="9">
                  <c:v>27.553353658536576</c:v>
                </c:pt>
                <c:pt idx="10">
                  <c:v>12.957317073170728</c:v>
                </c:pt>
                <c:pt idx="11">
                  <c:v>6.3262195121951299</c:v>
                </c:pt>
                <c:pt idx="12">
                  <c:v>5.2210365853658489</c:v>
                </c:pt>
                <c:pt idx="13">
                  <c:v>2.5152439024390123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C-4089-865B-A6C73F2CEADA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FC-4089-865B-A6C73F2C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2704"/>
        <c:axId val="133757568"/>
      </c:scatterChart>
      <c:valAx>
        <c:axId val="13375270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757568"/>
        <c:crosses val="autoZero"/>
        <c:crossBetween val="midCat"/>
      </c:valAx>
      <c:valAx>
        <c:axId val="13375756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75270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93.761581222977142</c:v>
                </c:pt>
                <c:pt idx="5">
                  <c:v>90.487955528103754</c:v>
                </c:pt>
                <c:pt idx="6">
                  <c:v>79.95676343421863</c:v>
                </c:pt>
                <c:pt idx="7">
                  <c:v>66.553428042001201</c:v>
                </c:pt>
                <c:pt idx="8">
                  <c:v>55.250154416306344</c:v>
                </c:pt>
                <c:pt idx="9">
                  <c:v>45.120444718962304</c:v>
                </c:pt>
                <c:pt idx="10">
                  <c:v>35.917232859789976</c:v>
                </c:pt>
                <c:pt idx="11">
                  <c:v>24.366893143915988</c:v>
                </c:pt>
                <c:pt idx="12">
                  <c:v>16.02841260037059</c:v>
                </c:pt>
                <c:pt idx="13">
                  <c:v>13.928350833848043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F-474F-811A-165BAD81DBA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'164'!$Q$4:$Q$12</c:f>
              <c:numCache>
                <c:formatCode>0.0000</c:formatCode>
                <c:ptCount val="9"/>
                <c:pt idx="0">
                  <c:v>7.1125275925129045E-2</c:v>
                </c:pt>
                <c:pt idx="1">
                  <c:v>5.1760145762974795E-2</c:v>
                </c:pt>
                <c:pt idx="2">
                  <c:v>3.8591017042748983E-2</c:v>
                </c:pt>
                <c:pt idx="3">
                  <c:v>2.501297041328376E-2</c:v>
                </c:pt>
                <c:pt idx="4">
                  <c:v>1.495060494208921E-2</c:v>
                </c:pt>
                <c:pt idx="5">
                  <c:v>8.7750802602027476E-3</c:v>
                </c:pt>
                <c:pt idx="6">
                  <c:v>5.4599864160039032E-3</c:v>
                </c:pt>
                <c:pt idx="7">
                  <c:v>3.1687720029814899E-3</c:v>
                </c:pt>
                <c:pt idx="8">
                  <c:v>1.592567224597037E-3</c:v>
                </c:pt>
              </c:numCache>
            </c:numRef>
          </c:xVal>
          <c:yVal>
            <c:numRef>
              <c:f>'164'!$S$4:$S$12</c:f>
              <c:numCache>
                <c:formatCode>0.0</c:formatCode>
                <c:ptCount val="9"/>
                <c:pt idx="0">
                  <c:v>12.411137947285605</c:v>
                </c:pt>
                <c:pt idx="1">
                  <c:v>10.924774121263363</c:v>
                </c:pt>
                <c:pt idx="2">
                  <c:v>7.9520464692188764</c:v>
                </c:pt>
                <c:pt idx="3">
                  <c:v>6.465682643196633</c:v>
                </c:pt>
                <c:pt idx="4">
                  <c:v>4.2361369041633514</c:v>
                </c:pt>
                <c:pt idx="5">
                  <c:v>3.1213640346466276</c:v>
                </c:pt>
                <c:pt idx="6">
                  <c:v>2.0065911651299042</c:v>
                </c:pt>
                <c:pt idx="7">
                  <c:v>1.6350002086243849</c:v>
                </c:pt>
                <c:pt idx="8">
                  <c:v>1.2634092521188653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4F-474F-811A-165BAD81D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8512"/>
        <c:axId val="133810048"/>
      </c:scatterChart>
      <c:valAx>
        <c:axId val="1338085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810048"/>
        <c:crosses val="autoZero"/>
        <c:crossBetween val="midCat"/>
      </c:valAx>
      <c:valAx>
        <c:axId val="1338100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38085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89.782141761276463</c:v>
                </c:pt>
                <c:pt idx="4">
                  <c:v>70.819269714636391</c:v>
                </c:pt>
                <c:pt idx="5">
                  <c:v>68.180423442773844</c:v>
                </c:pt>
                <c:pt idx="6">
                  <c:v>60.325253145136529</c:v>
                </c:pt>
                <c:pt idx="7">
                  <c:v>50.905185639766785</c:v>
                </c:pt>
                <c:pt idx="8">
                  <c:v>43.725069039582685</c:v>
                </c:pt>
                <c:pt idx="9">
                  <c:v>29.180730285363591</c:v>
                </c:pt>
                <c:pt idx="10">
                  <c:v>17.643448910708802</c:v>
                </c:pt>
                <c:pt idx="11">
                  <c:v>10.524700828474991</c:v>
                </c:pt>
                <c:pt idx="12">
                  <c:v>8.6529610309910936</c:v>
                </c:pt>
                <c:pt idx="13">
                  <c:v>6.3516416078551625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1D-4EB3-B972-CE10F54D7F2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1D-4EB3-B972-CE10F54D7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38912"/>
        <c:axId val="134849664"/>
      </c:scatterChart>
      <c:valAx>
        <c:axId val="1348389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849664"/>
        <c:crosses val="autoZero"/>
        <c:crossBetween val="midCat"/>
      </c:valAx>
      <c:valAx>
        <c:axId val="13484966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8389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95.904734243392397</c:v>
                </c:pt>
                <c:pt idx="4">
                  <c:v>76.474005227998845</c:v>
                </c:pt>
                <c:pt idx="5">
                  <c:v>74.005227998838222</c:v>
                </c:pt>
                <c:pt idx="6">
                  <c:v>62.38745280278826</c:v>
                </c:pt>
                <c:pt idx="7">
                  <c:v>51.757188498402556</c:v>
                </c:pt>
                <c:pt idx="8">
                  <c:v>43.392390357246583</c:v>
                </c:pt>
                <c:pt idx="9">
                  <c:v>26.139994191112386</c:v>
                </c:pt>
                <c:pt idx="10">
                  <c:v>11.356375254138822</c:v>
                </c:pt>
                <c:pt idx="11">
                  <c:v>6.6221318617484766</c:v>
                </c:pt>
                <c:pt idx="12">
                  <c:v>4.6761545164100955</c:v>
                </c:pt>
                <c:pt idx="13">
                  <c:v>3.6015103107754776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AA-4AD0-A7BB-CD3A52B423C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AA-4AD0-A7BB-CD3A52B4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32640"/>
        <c:axId val="134439296"/>
      </c:scatterChart>
      <c:valAx>
        <c:axId val="1344326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439296"/>
        <c:crosses val="autoZero"/>
        <c:crossBetween val="midCat"/>
      </c:valAx>
      <c:valAx>
        <c:axId val="13443929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4326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93.41106290672451</c:v>
                </c:pt>
                <c:pt idx="4">
                  <c:v>69.658351409978309</c:v>
                </c:pt>
                <c:pt idx="5">
                  <c:v>65.997830802603033</c:v>
                </c:pt>
                <c:pt idx="6">
                  <c:v>56.155097613882845</c:v>
                </c:pt>
                <c:pt idx="7">
                  <c:v>41.784164859002139</c:v>
                </c:pt>
                <c:pt idx="8">
                  <c:v>30.883947939262448</c:v>
                </c:pt>
                <c:pt idx="9">
                  <c:v>20.092190889370908</c:v>
                </c:pt>
                <c:pt idx="10">
                  <c:v>10.3579175704989</c:v>
                </c:pt>
                <c:pt idx="11">
                  <c:v>6.0195227765726544</c:v>
                </c:pt>
                <c:pt idx="12">
                  <c:v>4.040130151843802</c:v>
                </c:pt>
                <c:pt idx="13">
                  <c:v>2.847071583514075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BE-4E94-86DF-8250537C5B9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BE-4E94-86DF-8250537C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39072"/>
        <c:axId val="134741376"/>
      </c:scatterChart>
      <c:valAx>
        <c:axId val="1347390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741376"/>
        <c:crosses val="autoZero"/>
        <c:crossBetween val="midCat"/>
      </c:valAx>
      <c:valAx>
        <c:axId val="1347413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7390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91.152040447815097</c:v>
                </c:pt>
                <c:pt idx="3">
                  <c:v>84.615384615384627</c:v>
                </c:pt>
                <c:pt idx="4">
                  <c:v>69.302997472011583</c:v>
                </c:pt>
                <c:pt idx="5">
                  <c:v>67.388949079089926</c:v>
                </c:pt>
                <c:pt idx="6">
                  <c:v>54.279523293607788</c:v>
                </c:pt>
                <c:pt idx="7">
                  <c:v>39.472733838930999</c:v>
                </c:pt>
                <c:pt idx="8">
                  <c:v>28.060671722643551</c:v>
                </c:pt>
                <c:pt idx="9">
                  <c:v>20.368364030335862</c:v>
                </c:pt>
                <c:pt idx="10">
                  <c:v>14.879017695919114</c:v>
                </c:pt>
                <c:pt idx="11">
                  <c:v>9.9313831708198066</c:v>
                </c:pt>
                <c:pt idx="12">
                  <c:v>6.8255687973997929</c:v>
                </c:pt>
                <c:pt idx="13">
                  <c:v>5.8866016612495509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62-432C-8B1B-5AB175DE157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62-432C-8B1B-5AB175DE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56384"/>
        <c:axId val="134658688"/>
      </c:scatterChart>
      <c:valAx>
        <c:axId val="1346563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658688"/>
        <c:crosses val="autoZero"/>
        <c:crossBetween val="midCat"/>
      </c:valAx>
      <c:valAx>
        <c:axId val="1346586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6563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'169'!$B$11:$B$24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'169'!$G$11:$G$24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87.299322154834115</c:v>
                </c:pt>
                <c:pt idx="4">
                  <c:v>73.135925793792381</c:v>
                </c:pt>
                <c:pt idx="5">
                  <c:v>73.135925793792381</c:v>
                </c:pt>
                <c:pt idx="6">
                  <c:v>64.966107741705301</c:v>
                </c:pt>
                <c:pt idx="7">
                  <c:v>54.227613271494832</c:v>
                </c:pt>
                <c:pt idx="8">
                  <c:v>44.238316089903684</c:v>
                </c:pt>
                <c:pt idx="9">
                  <c:v>31.323581876560844</c:v>
                </c:pt>
                <c:pt idx="10">
                  <c:v>21.120228326792756</c:v>
                </c:pt>
                <c:pt idx="11">
                  <c:v>15.233678201926544</c:v>
                </c:pt>
                <c:pt idx="12">
                  <c:v>9.3114520156974976</c:v>
                </c:pt>
                <c:pt idx="13">
                  <c:v>6.7784516589368771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C7-4551-941D-818281C8A6B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'169'!$Q$4:$Q$12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'169'!$S$4:$S$12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C7-4551-941D-818281C8A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56160"/>
        <c:axId val="134965120"/>
      </c:scatterChart>
      <c:valAx>
        <c:axId val="1349561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965120"/>
        <c:crosses val="autoZero"/>
        <c:crossBetween val="midCat"/>
      </c:valAx>
      <c:valAx>
        <c:axId val="1349651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49561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91.021671826625393</c:v>
                </c:pt>
                <c:pt idx="4">
                  <c:v>67.689276667604844</c:v>
                </c:pt>
                <c:pt idx="5">
                  <c:v>63.495637489445549</c:v>
                </c:pt>
                <c:pt idx="6">
                  <c:v>54.770616380523514</c:v>
                </c:pt>
                <c:pt idx="7">
                  <c:v>46.91809738249367</c:v>
                </c:pt>
                <c:pt idx="8">
                  <c:v>39.966225724739658</c:v>
                </c:pt>
                <c:pt idx="9">
                  <c:v>27.891922319166895</c:v>
                </c:pt>
                <c:pt idx="10">
                  <c:v>21.756262313537846</c:v>
                </c:pt>
                <c:pt idx="11">
                  <c:v>17.281170841542355</c:v>
                </c:pt>
                <c:pt idx="12">
                  <c:v>12.918660287081337</c:v>
                </c:pt>
                <c:pt idx="13">
                  <c:v>9.9071207430340564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9F-4BDF-9073-D53E0C21260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9F-4BDF-9073-D53E0C212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38624"/>
        <c:axId val="135341184"/>
      </c:scatterChart>
      <c:valAx>
        <c:axId val="13533862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341184"/>
        <c:crosses val="autoZero"/>
        <c:crossBetween val="midCat"/>
      </c:valAx>
      <c:valAx>
        <c:axId val="1353411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33862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92.766853932584269</c:v>
                </c:pt>
                <c:pt idx="4">
                  <c:v>81.109550561797761</c:v>
                </c:pt>
                <c:pt idx="5">
                  <c:v>76.790730337078642</c:v>
                </c:pt>
                <c:pt idx="6">
                  <c:v>66.783707865168537</c:v>
                </c:pt>
                <c:pt idx="7">
                  <c:v>54.389044943820224</c:v>
                </c:pt>
                <c:pt idx="8">
                  <c:v>42.345505617977523</c:v>
                </c:pt>
                <c:pt idx="9">
                  <c:v>25.877808988764031</c:v>
                </c:pt>
                <c:pt idx="10">
                  <c:v>17.205056179775273</c:v>
                </c:pt>
                <c:pt idx="11">
                  <c:v>12.324438202247192</c:v>
                </c:pt>
                <c:pt idx="12">
                  <c:v>8.426966292134825</c:v>
                </c:pt>
                <c:pt idx="13">
                  <c:v>7.4789325842696606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7-43B8-AB97-B0E5E03C68D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7-43B8-AB97-B0E5E03C6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59872"/>
        <c:axId val="135479680"/>
      </c:scatterChart>
      <c:valAx>
        <c:axId val="13535987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479680"/>
        <c:crosses val="autoZero"/>
        <c:crossBetween val="midCat"/>
      </c:valAx>
      <c:valAx>
        <c:axId val="1354796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35987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93.779904306220089</c:v>
                </c:pt>
                <c:pt idx="4">
                  <c:v>84.906481078729882</c:v>
                </c:pt>
                <c:pt idx="5">
                  <c:v>80.382775119617236</c:v>
                </c:pt>
                <c:pt idx="6">
                  <c:v>74.9456285341453</c:v>
                </c:pt>
                <c:pt idx="7">
                  <c:v>63.766855154414991</c:v>
                </c:pt>
                <c:pt idx="8">
                  <c:v>51.370160939538962</c:v>
                </c:pt>
                <c:pt idx="9">
                  <c:v>42.366246193997426</c:v>
                </c:pt>
                <c:pt idx="10">
                  <c:v>35.711178773379764</c:v>
                </c:pt>
                <c:pt idx="11">
                  <c:v>24.358416702914361</c:v>
                </c:pt>
                <c:pt idx="12">
                  <c:v>19.269247498912602</c:v>
                </c:pt>
                <c:pt idx="13">
                  <c:v>15.963462374945651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5-4DF2-92B6-DFB34AB9CA1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C5-4DF2-92B6-DFB34AB9C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86656"/>
        <c:axId val="136088960"/>
      </c:scatterChart>
      <c:valAx>
        <c:axId val="1360866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088960"/>
        <c:crosses val="autoZero"/>
        <c:crossBetween val="midCat"/>
      </c:valAx>
      <c:valAx>
        <c:axId val="13608896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0866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80.072793448589636</c:v>
                </c:pt>
                <c:pt idx="3">
                  <c:v>65.938732180770415</c:v>
                </c:pt>
                <c:pt idx="4">
                  <c:v>56.414922656960897</c:v>
                </c:pt>
                <c:pt idx="5">
                  <c:v>53.776160145586907</c:v>
                </c:pt>
                <c:pt idx="6">
                  <c:v>44.8892932969366</c:v>
                </c:pt>
                <c:pt idx="7">
                  <c:v>32.787382468911119</c:v>
                </c:pt>
                <c:pt idx="8">
                  <c:v>24.234152259629965</c:v>
                </c:pt>
                <c:pt idx="9">
                  <c:v>18.895966029723986</c:v>
                </c:pt>
                <c:pt idx="10">
                  <c:v>14.710342735820436</c:v>
                </c:pt>
                <c:pt idx="11">
                  <c:v>10.251744009705792</c:v>
                </c:pt>
                <c:pt idx="12">
                  <c:v>8.5835608128601759</c:v>
                </c:pt>
                <c:pt idx="13">
                  <c:v>6.4604185623293917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49AC-B8B2-0D1A49CBA48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49AC-B8B2-0D1A49CB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16096"/>
        <c:axId val="136206976"/>
      </c:scatterChart>
      <c:valAx>
        <c:axId val="1361160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206976"/>
        <c:crosses val="autoZero"/>
        <c:crossBetween val="midCat"/>
      </c:valAx>
      <c:valAx>
        <c:axId val="13620697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1160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85.665209244222368</c:v>
                </c:pt>
                <c:pt idx="3">
                  <c:v>82.292317301686452</c:v>
                </c:pt>
                <c:pt idx="4">
                  <c:v>72.923173016864467</c:v>
                </c:pt>
                <c:pt idx="5">
                  <c:v>70.70580886945659</c:v>
                </c:pt>
                <c:pt idx="6">
                  <c:v>60.056214865708924</c:v>
                </c:pt>
                <c:pt idx="7">
                  <c:v>47.720174890693293</c:v>
                </c:pt>
                <c:pt idx="8">
                  <c:v>35.69643972517175</c:v>
                </c:pt>
                <c:pt idx="9">
                  <c:v>26.889444097439089</c:v>
                </c:pt>
                <c:pt idx="10">
                  <c:v>19.956277326670826</c:v>
                </c:pt>
                <c:pt idx="11">
                  <c:v>11.93004372267333</c:v>
                </c:pt>
                <c:pt idx="12">
                  <c:v>7.0580886945658916</c:v>
                </c:pt>
                <c:pt idx="13">
                  <c:v>6.2773266708307265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7-4ED8-A109-54C8F7BB146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7-4ED8-A109-54C8F7BB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76384"/>
        <c:axId val="136988544"/>
      </c:scatterChart>
      <c:valAx>
        <c:axId val="1365763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988544"/>
        <c:crosses val="autoZero"/>
        <c:crossBetween val="midCat"/>
      </c:valAx>
      <c:valAx>
        <c:axId val="13698854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5763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87.853107344632775</c:v>
                </c:pt>
                <c:pt idx="3">
                  <c:v>73.226616446955447</c:v>
                </c:pt>
                <c:pt idx="4">
                  <c:v>63.904582548650367</c:v>
                </c:pt>
                <c:pt idx="5">
                  <c:v>61.142498430634028</c:v>
                </c:pt>
                <c:pt idx="6">
                  <c:v>53.201506591337086</c:v>
                </c:pt>
                <c:pt idx="7">
                  <c:v>43.377275580665398</c:v>
                </c:pt>
                <c:pt idx="8">
                  <c:v>31.607030759573128</c:v>
                </c:pt>
                <c:pt idx="9">
                  <c:v>19.648462021343377</c:v>
                </c:pt>
                <c:pt idx="10">
                  <c:v>12.931575643440063</c:v>
                </c:pt>
                <c:pt idx="11">
                  <c:v>8.097928436911511</c:v>
                </c:pt>
                <c:pt idx="12">
                  <c:v>5.6811048336472174</c:v>
                </c:pt>
                <c:pt idx="13">
                  <c:v>4.1745134965474033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F-4103-8FC5-34F9E83CCC2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6F-4103-8FC5-34F9E83CC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07488"/>
        <c:axId val="135713920"/>
      </c:scatterChart>
      <c:valAx>
        <c:axId val="13700748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713920"/>
        <c:crosses val="autoZero"/>
        <c:crossBetween val="midCat"/>
      </c:valAx>
      <c:valAx>
        <c:axId val="1357139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00748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91.69030062393648</c:v>
                </c:pt>
                <c:pt idx="3">
                  <c:v>91.69030062393648</c:v>
                </c:pt>
                <c:pt idx="4">
                  <c:v>76.006806579693716</c:v>
                </c:pt>
                <c:pt idx="5">
                  <c:v>73.199092456040859</c:v>
                </c:pt>
                <c:pt idx="6">
                  <c:v>65.626772546795252</c:v>
                </c:pt>
                <c:pt idx="7">
                  <c:v>54.452637549631319</c:v>
                </c:pt>
                <c:pt idx="8">
                  <c:v>41.094724900737404</c:v>
                </c:pt>
                <c:pt idx="9">
                  <c:v>25.326148610323337</c:v>
                </c:pt>
                <c:pt idx="10">
                  <c:v>15.314804310833832</c:v>
                </c:pt>
                <c:pt idx="11">
                  <c:v>10.068065796937066</c:v>
                </c:pt>
                <c:pt idx="12">
                  <c:v>6.8916619398752283</c:v>
                </c:pt>
                <c:pt idx="13">
                  <c:v>5.4736245036869136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13-43E9-931D-80A8A3301C21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13-43E9-931D-80A8A3301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21632"/>
        <c:axId val="135844224"/>
      </c:scatterChart>
      <c:valAx>
        <c:axId val="1356216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844224"/>
        <c:crosses val="autoZero"/>
        <c:crossBetween val="midCat"/>
      </c:valAx>
      <c:valAx>
        <c:axId val="1358442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56216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96.7885816235504</c:v>
                </c:pt>
                <c:pt idx="4">
                  <c:v>85.325602140945591</c:v>
                </c:pt>
                <c:pt idx="5">
                  <c:v>84.388938447814454</c:v>
                </c:pt>
                <c:pt idx="6">
                  <c:v>76.137377341659231</c:v>
                </c:pt>
                <c:pt idx="7">
                  <c:v>65.477252453166798</c:v>
                </c:pt>
                <c:pt idx="8">
                  <c:v>53.166815343443361</c:v>
                </c:pt>
                <c:pt idx="9">
                  <c:v>38.447814451382705</c:v>
                </c:pt>
                <c:pt idx="10">
                  <c:v>26.940231935771642</c:v>
                </c:pt>
                <c:pt idx="11">
                  <c:v>11.28456735057987</c:v>
                </c:pt>
                <c:pt idx="12">
                  <c:v>8.1177520071365059</c:v>
                </c:pt>
                <c:pt idx="13">
                  <c:v>6.8688670829616569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42-425F-A040-ED65A9A663A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42-425F-A040-ED65A9A66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29856"/>
        <c:axId val="136342912"/>
      </c:scatterChart>
      <c:valAx>
        <c:axId val="13632985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342912"/>
        <c:crosses val="autoZero"/>
        <c:crossBetween val="midCat"/>
      </c:valAx>
      <c:valAx>
        <c:axId val="1363429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32985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87.730061349693258</c:v>
                </c:pt>
                <c:pt idx="3">
                  <c:v>78.9277140570819</c:v>
                </c:pt>
                <c:pt idx="4">
                  <c:v>64.603894371832496</c:v>
                </c:pt>
                <c:pt idx="5">
                  <c:v>63.030141371032286</c:v>
                </c:pt>
                <c:pt idx="6">
                  <c:v>54.014403841024269</c:v>
                </c:pt>
                <c:pt idx="7">
                  <c:v>43.691651106961856</c:v>
                </c:pt>
                <c:pt idx="8">
                  <c:v>31.661776473726334</c:v>
                </c:pt>
                <c:pt idx="9">
                  <c:v>20.99226460389438</c:v>
                </c:pt>
                <c:pt idx="10">
                  <c:v>15.017337956788491</c:v>
                </c:pt>
                <c:pt idx="11">
                  <c:v>9.0157375300080176</c:v>
                </c:pt>
                <c:pt idx="12">
                  <c:v>6.2950120032008572</c:v>
                </c:pt>
                <c:pt idx="13">
                  <c:v>5.7615364097092598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62-4001-A88E-743D9096CB2F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'178'!$Q$4:$Q$12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'178'!$S$4:$S$12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62-4001-A88E-743D9096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7520"/>
        <c:axId val="136669824"/>
      </c:scatterChart>
      <c:valAx>
        <c:axId val="1366675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669824"/>
        <c:crosses val="autoZero"/>
        <c:crossBetween val="midCat"/>
      </c:valAx>
      <c:valAx>
        <c:axId val="1366698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6675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64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'179'!$B$11:$B$24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'179'!$G$11:$G$24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82.634902411021812</c:v>
                </c:pt>
                <c:pt idx="3">
                  <c:v>73.59357060849598</c:v>
                </c:pt>
                <c:pt idx="4">
                  <c:v>61.681974741676235</c:v>
                </c:pt>
                <c:pt idx="5">
                  <c:v>59.873708381171049</c:v>
                </c:pt>
                <c:pt idx="6">
                  <c:v>53.415614236509739</c:v>
                </c:pt>
                <c:pt idx="7">
                  <c:v>43.484500574052802</c:v>
                </c:pt>
                <c:pt idx="8">
                  <c:v>29.850746268656707</c:v>
                </c:pt>
                <c:pt idx="9">
                  <c:v>18.197474167623405</c:v>
                </c:pt>
                <c:pt idx="10">
                  <c:v>10.505166475315709</c:v>
                </c:pt>
                <c:pt idx="11">
                  <c:v>7.6061997703788649</c:v>
                </c:pt>
                <c:pt idx="12">
                  <c:v>6.1423650975889617</c:v>
                </c:pt>
                <c:pt idx="13">
                  <c:v>5.3960964408725376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E-4A44-B771-874862BA2A4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'179'!$Q$4:$Q$12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'179'!$S$4:$S$12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AE-4A44-B771-874862BA2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96960"/>
        <c:axId val="136701824"/>
      </c:scatterChart>
      <c:valAx>
        <c:axId val="1366969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701824"/>
        <c:crosses val="autoZero"/>
        <c:crossBetween val="midCat"/>
      </c:valAx>
      <c:valAx>
        <c:axId val="1367018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66969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42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86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91.849315068493155</c:v>
                </c:pt>
                <c:pt idx="4">
                  <c:v>84.178082191780831</c:v>
                </c:pt>
                <c:pt idx="5">
                  <c:v>81.301369863013676</c:v>
                </c:pt>
                <c:pt idx="6">
                  <c:v>73.287671232876662</c:v>
                </c:pt>
                <c:pt idx="7">
                  <c:v>61.712328767123225</c:v>
                </c:pt>
                <c:pt idx="8">
                  <c:v>49.726027397260218</c:v>
                </c:pt>
                <c:pt idx="9">
                  <c:v>33.424657534246521</c:v>
                </c:pt>
                <c:pt idx="10">
                  <c:v>22.123287671232831</c:v>
                </c:pt>
                <c:pt idx="11">
                  <c:v>15.205479452054778</c:v>
                </c:pt>
                <c:pt idx="12">
                  <c:v>12.054794520547915</c:v>
                </c:pt>
                <c:pt idx="13">
                  <c:v>8.1506849315068308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EC-4860-9F9B-6D61740D32CB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EC-4860-9F9B-6D61740D3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67136"/>
        <c:axId val="137081984"/>
      </c:scatterChart>
      <c:valAx>
        <c:axId val="13706713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081984"/>
        <c:crosses val="autoZero"/>
        <c:crossBetween val="midCat"/>
      </c:valAx>
      <c:valAx>
        <c:axId val="13708198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06713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64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89.84865263935032</c:v>
                </c:pt>
                <c:pt idx="4">
                  <c:v>74.640088593576976</c:v>
                </c:pt>
                <c:pt idx="5">
                  <c:v>71.391657438169048</c:v>
                </c:pt>
                <c:pt idx="6">
                  <c:v>56.589147286821685</c:v>
                </c:pt>
                <c:pt idx="7">
                  <c:v>39.202657807308967</c:v>
                </c:pt>
                <c:pt idx="8">
                  <c:v>25.91362126245847</c:v>
                </c:pt>
                <c:pt idx="9">
                  <c:v>14.617940199335539</c:v>
                </c:pt>
                <c:pt idx="10">
                  <c:v>8.637873754152821</c:v>
                </c:pt>
                <c:pt idx="11">
                  <c:v>5.9800664451827252</c:v>
                </c:pt>
                <c:pt idx="12">
                  <c:v>4.7619047619047592</c:v>
                </c:pt>
                <c:pt idx="13">
                  <c:v>3.9497969730527887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E-401B-89D5-E6DE24B74D6C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7E-401B-89D5-E6DE24B7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6576"/>
        <c:axId val="137470336"/>
      </c:scatterChart>
      <c:valAx>
        <c:axId val="13709657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470336"/>
        <c:crosses val="autoZero"/>
        <c:crossBetween val="midCat"/>
      </c:valAx>
      <c:valAx>
        <c:axId val="137470336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09657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89.38356164383562</c:v>
                </c:pt>
                <c:pt idx="3">
                  <c:v>70.319634703196357</c:v>
                </c:pt>
                <c:pt idx="4">
                  <c:v>50.770547945205493</c:v>
                </c:pt>
                <c:pt idx="5">
                  <c:v>48.601598173515988</c:v>
                </c:pt>
                <c:pt idx="6">
                  <c:v>40.66780821917807</c:v>
                </c:pt>
                <c:pt idx="7">
                  <c:v>33.019406392694052</c:v>
                </c:pt>
                <c:pt idx="8">
                  <c:v>25.542237442922364</c:v>
                </c:pt>
                <c:pt idx="9">
                  <c:v>14.497716894977163</c:v>
                </c:pt>
                <c:pt idx="10">
                  <c:v>8.5901826484018251</c:v>
                </c:pt>
                <c:pt idx="11">
                  <c:v>6.2785388127853965</c:v>
                </c:pt>
                <c:pt idx="12">
                  <c:v>5.2796803652968123</c:v>
                </c:pt>
                <c:pt idx="13">
                  <c:v>4.5376712328767148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4-4CEF-896E-6F1274E753B3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4-4CEF-896E-6F1274E75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85504"/>
        <c:axId val="138087808"/>
      </c:scatterChart>
      <c:valAx>
        <c:axId val="13808550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087808"/>
        <c:crosses val="autoZero"/>
        <c:crossBetween val="midCat"/>
      </c:valAx>
      <c:valAx>
        <c:axId val="1380878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08550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74.89019033674964</c:v>
                </c:pt>
                <c:pt idx="4">
                  <c:v>42.82576866764277</c:v>
                </c:pt>
                <c:pt idx="5">
                  <c:v>40.043923865300158</c:v>
                </c:pt>
                <c:pt idx="6">
                  <c:v>33.565153733528547</c:v>
                </c:pt>
                <c:pt idx="7">
                  <c:v>29.392386530014626</c:v>
                </c:pt>
                <c:pt idx="8">
                  <c:v>25.109809663250356</c:v>
                </c:pt>
                <c:pt idx="9">
                  <c:v>14.348462664714477</c:v>
                </c:pt>
                <c:pt idx="10">
                  <c:v>7.1376281112737816</c:v>
                </c:pt>
                <c:pt idx="11">
                  <c:v>4.6120058565153723</c:v>
                </c:pt>
                <c:pt idx="12">
                  <c:v>3.5505124450951548</c:v>
                </c:pt>
                <c:pt idx="13">
                  <c:v>2.4524158125914948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9-43B2-9413-C203ADEB1F1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09-43B2-9413-C203ADEB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27232"/>
        <c:axId val="138136192"/>
      </c:scatterChart>
      <c:valAx>
        <c:axId val="13812723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136192"/>
        <c:crosses val="autoZero"/>
        <c:crossBetween val="midCat"/>
      </c:valAx>
      <c:valAx>
        <c:axId val="13813619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12723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82.540656643142071</c:v>
                </c:pt>
                <c:pt idx="4">
                  <c:v>69.776004909481443</c:v>
                </c:pt>
                <c:pt idx="5">
                  <c:v>66.523473458115987</c:v>
                </c:pt>
                <c:pt idx="6">
                  <c:v>58.177355016876334</c:v>
                </c:pt>
                <c:pt idx="7">
                  <c:v>47.652654188401343</c:v>
                </c:pt>
                <c:pt idx="8">
                  <c:v>38.416692236882483</c:v>
                </c:pt>
                <c:pt idx="9">
                  <c:v>22.706351641607863</c:v>
                </c:pt>
                <c:pt idx="10">
                  <c:v>14.022706351641613</c:v>
                </c:pt>
                <c:pt idx="11">
                  <c:v>8.2233814053390741</c:v>
                </c:pt>
                <c:pt idx="12">
                  <c:v>4.7867444001227364</c:v>
                </c:pt>
                <c:pt idx="13">
                  <c:v>3.6514268180423475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A3-481C-89FB-CE2F0EAC514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A3-481C-89FB-CE2F0EAC5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802112"/>
        <c:axId val="137803648"/>
      </c:scatterChart>
      <c:valAx>
        <c:axId val="137802112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803648"/>
        <c:crosses val="autoZero"/>
        <c:crossBetween val="midCat"/>
      </c:valAx>
      <c:valAx>
        <c:axId val="13780364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7802112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89.730682104203382</c:v>
                </c:pt>
                <c:pt idx="3">
                  <c:v>81.424616159073764</c:v>
                </c:pt>
                <c:pt idx="4">
                  <c:v>67.052605084319183</c:v>
                </c:pt>
                <c:pt idx="5">
                  <c:v>63.201610873395431</c:v>
                </c:pt>
                <c:pt idx="6">
                  <c:v>50.566322678077029</c:v>
                </c:pt>
                <c:pt idx="7">
                  <c:v>34.658947898313635</c:v>
                </c:pt>
                <c:pt idx="8">
                  <c:v>23.760382582431433</c:v>
                </c:pt>
                <c:pt idx="9">
                  <c:v>15.303297256481269</c:v>
                </c:pt>
                <c:pt idx="10">
                  <c:v>8.5829348099673055</c:v>
                </c:pt>
                <c:pt idx="11">
                  <c:v>5.6883966775736496</c:v>
                </c:pt>
                <c:pt idx="12">
                  <c:v>4.4550717342059096</c:v>
                </c:pt>
                <c:pt idx="13">
                  <c:v>3.5489554492826727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9-436D-A174-35B2F0B10FB0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E9-436D-A174-35B2F0B10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1344"/>
        <c:axId val="138388608"/>
      </c:scatterChart>
      <c:valAx>
        <c:axId val="13828134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388608"/>
        <c:crosses val="autoZero"/>
        <c:crossBetween val="midCat"/>
      </c:valAx>
      <c:valAx>
        <c:axId val="13838860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28134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'186'!$B$11:$B$24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'186'!$G$11:$G$24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81.729459827507952</c:v>
                </c:pt>
                <c:pt idx="3">
                  <c:v>70.835224693599642</c:v>
                </c:pt>
                <c:pt idx="4">
                  <c:v>61.166591012256021</c:v>
                </c:pt>
                <c:pt idx="5">
                  <c:v>58.079891057648659</c:v>
                </c:pt>
                <c:pt idx="6">
                  <c:v>48.61552428506581</c:v>
                </c:pt>
                <c:pt idx="7">
                  <c:v>37.698592827961868</c:v>
                </c:pt>
                <c:pt idx="8">
                  <c:v>27.825692237857467</c:v>
                </c:pt>
                <c:pt idx="9">
                  <c:v>17.748524738992273</c:v>
                </c:pt>
                <c:pt idx="10">
                  <c:v>11.302768951429863</c:v>
                </c:pt>
                <c:pt idx="11">
                  <c:v>7.3990013617793888</c:v>
                </c:pt>
                <c:pt idx="12">
                  <c:v>5.2655469813890043</c:v>
                </c:pt>
                <c:pt idx="13">
                  <c:v>4.561960962324088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4-427B-8898-3DC9D3D16C0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'186'!$Q$4:$Q$12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'186'!$S$4:$S$12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64-427B-8898-3DC9D3D16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6096"/>
        <c:axId val="138682752"/>
      </c:scatterChart>
      <c:valAx>
        <c:axId val="1386760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682752"/>
        <c:crosses val="autoZero"/>
        <c:crossBetween val="midCat"/>
      </c:valAx>
      <c:valAx>
        <c:axId val="13868275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6760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2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'187'!$B$11:$B$24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'187'!$G$11:$G$24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87.385970430953137</c:v>
                </c:pt>
                <c:pt idx="3">
                  <c:v>81.818181818181827</c:v>
                </c:pt>
                <c:pt idx="4">
                  <c:v>68.480654293803099</c:v>
                </c:pt>
                <c:pt idx="5">
                  <c:v>67.00220195029884</c:v>
                </c:pt>
                <c:pt idx="6">
                  <c:v>62.063541994337832</c:v>
                </c:pt>
                <c:pt idx="7">
                  <c:v>48.002516514627239</c:v>
                </c:pt>
                <c:pt idx="8">
                  <c:v>33.34381881094685</c:v>
                </c:pt>
                <c:pt idx="9">
                  <c:v>18.464926077382835</c:v>
                </c:pt>
                <c:pt idx="10">
                  <c:v>10.443535703051287</c:v>
                </c:pt>
                <c:pt idx="11">
                  <c:v>7.2664359861591947</c:v>
                </c:pt>
                <c:pt idx="12">
                  <c:v>5.5992450456118501</c:v>
                </c:pt>
                <c:pt idx="13">
                  <c:v>4.6240956275558505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E-4888-9563-59BBBD5E1A44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'187'!$Q$4:$Q$12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'187'!$S$4:$S$12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E-4888-9563-59BBBD5E1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13728"/>
        <c:axId val="138722688"/>
      </c:scatterChart>
      <c:valAx>
        <c:axId val="1387137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722688"/>
        <c:crosses val="autoZero"/>
        <c:crossBetween val="midCat"/>
      </c:valAx>
      <c:valAx>
        <c:axId val="1387226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7137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97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'188'!$B$11:$B$24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'188'!$G$11:$G$24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94.954842728122088</c:v>
                </c:pt>
                <c:pt idx="4">
                  <c:v>85.674244783556532</c:v>
                </c:pt>
                <c:pt idx="5">
                  <c:v>82.155091871691042</c:v>
                </c:pt>
                <c:pt idx="6">
                  <c:v>70.009342883836794</c:v>
                </c:pt>
                <c:pt idx="7">
                  <c:v>52.943008408595432</c:v>
                </c:pt>
                <c:pt idx="8">
                  <c:v>40.330115228900638</c:v>
                </c:pt>
                <c:pt idx="9">
                  <c:v>30.706944876985339</c:v>
                </c:pt>
                <c:pt idx="10">
                  <c:v>23.326066645904685</c:v>
                </c:pt>
                <c:pt idx="11">
                  <c:v>16.972905636873239</c:v>
                </c:pt>
                <c:pt idx="12">
                  <c:v>12.426035502958566</c:v>
                </c:pt>
                <c:pt idx="13">
                  <c:v>11.273746496418552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2-4696-AED5-3D689D4AD0A5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'188'!$Q$4:$Q$12</c:f>
              <c:numCache>
                <c:formatCode>0.0000</c:formatCode>
                <c:ptCount val="9"/>
                <c:pt idx="0">
                  <c:v>8.2927226000272775E-2</c:v>
                </c:pt>
                <c:pt idx="1">
                  <c:v>5.8973153810038446E-2</c:v>
                </c:pt>
                <c:pt idx="2">
                  <c:v>4.2169739143175906E-2</c:v>
                </c:pt>
                <c:pt idx="3">
                  <c:v>2.6964104759148063E-2</c:v>
                </c:pt>
                <c:pt idx="4">
                  <c:v>1.5735428509822687E-2</c:v>
                </c:pt>
                <c:pt idx="5">
                  <c:v>9.1806518581449281E-3</c:v>
                </c:pt>
                <c:pt idx="6">
                  <c:v>5.5509125986351352E-3</c:v>
                </c:pt>
                <c:pt idx="7">
                  <c:v>3.1811304027172861E-3</c:v>
                </c:pt>
                <c:pt idx="8">
                  <c:v>1.6313267965262362E-3</c:v>
                </c:pt>
              </c:numCache>
            </c:numRef>
          </c:xVal>
          <c:yVal>
            <c:numRef>
              <c:f>'188'!$S$4:$S$12</c:f>
              <c:numCache>
                <c:formatCode>0.0</c:formatCode>
                <c:ptCount val="9"/>
                <c:pt idx="0">
                  <c:v>10.037889756619515</c:v>
                </c:pt>
                <c:pt idx="1">
                  <c:v>9.2437529087857602</c:v>
                </c:pt>
                <c:pt idx="2">
                  <c:v>7.6554792131182516</c:v>
                </c:pt>
                <c:pt idx="3">
                  <c:v>6.0672055174503869</c:v>
                </c:pt>
                <c:pt idx="4">
                  <c:v>4.4789318217828766</c:v>
                </c:pt>
                <c:pt idx="5">
                  <c:v>2.8906581261150137</c:v>
                </c:pt>
                <c:pt idx="6">
                  <c:v>3.1765473913351969</c:v>
                </c:pt>
                <c:pt idx="7">
                  <c:v>2.7000652826349789</c:v>
                </c:pt>
                <c:pt idx="8">
                  <c:v>2.0965212782812586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2-4696-AED5-3D689D4AD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6784"/>
        <c:axId val="139369088"/>
      </c:scatterChart>
      <c:valAx>
        <c:axId val="139366784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369088"/>
        <c:crosses val="autoZero"/>
        <c:crossBetween val="midCat"/>
      </c:valAx>
      <c:valAx>
        <c:axId val="139369088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366784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'189'!$B$11:$B$24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'189'!$G$11:$G$24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90.702148124398846</c:v>
                </c:pt>
                <c:pt idx="4">
                  <c:v>74.190445655658863</c:v>
                </c:pt>
                <c:pt idx="5">
                  <c:v>70.695735812760503</c:v>
                </c:pt>
                <c:pt idx="6">
                  <c:v>60.11542160949022</c:v>
                </c:pt>
                <c:pt idx="7">
                  <c:v>41.006732927220263</c:v>
                </c:pt>
                <c:pt idx="8">
                  <c:v>29.881372234690605</c:v>
                </c:pt>
                <c:pt idx="9">
                  <c:v>21.160628406540557</c:v>
                </c:pt>
                <c:pt idx="10">
                  <c:v>16.479640910548262</c:v>
                </c:pt>
                <c:pt idx="11">
                  <c:v>12.888746393074715</c:v>
                </c:pt>
                <c:pt idx="12">
                  <c:v>10.067329272202636</c:v>
                </c:pt>
                <c:pt idx="13">
                  <c:v>9.3619749919846207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4A-4D0E-B6BA-8BC4E0F4F86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'189'!$Q$4:$Q$12</c:f>
              <c:numCache>
                <c:formatCode>0.0000</c:formatCode>
                <c:ptCount val="9"/>
                <c:pt idx="0">
                  <c:v>7.8158951247653805E-2</c:v>
                </c:pt>
                <c:pt idx="1">
                  <c:v>5.6325147339562356E-2</c:v>
                </c:pt>
                <c:pt idx="2">
                  <c:v>4.0319121712457731E-2</c:v>
                </c:pt>
                <c:pt idx="3">
                  <c:v>2.6110323660717295E-2</c:v>
                </c:pt>
                <c:pt idx="4">
                  <c:v>1.5333745793932005E-2</c:v>
                </c:pt>
                <c:pt idx="5">
                  <c:v>8.9999602392340939E-3</c:v>
                </c:pt>
                <c:pt idx="6">
                  <c:v>5.4709703554497698E-3</c:v>
                </c:pt>
                <c:pt idx="7">
                  <c:v>3.1523246270515532E-3</c:v>
                </c:pt>
                <c:pt idx="8">
                  <c:v>1.6249892416011172E-3</c:v>
                </c:pt>
              </c:numCache>
            </c:numRef>
          </c:xVal>
          <c:yVal>
            <c:numRef>
              <c:f>'189'!$S$4:$S$12</c:f>
              <c:numCache>
                <c:formatCode>0.0</c:formatCode>
                <c:ptCount val="9"/>
                <c:pt idx="0">
                  <c:v>8.3434499646331997</c:v>
                </c:pt>
                <c:pt idx="1">
                  <c:v>7.2378691389308747</c:v>
                </c:pt>
                <c:pt idx="2">
                  <c:v>6.5008152551294343</c:v>
                </c:pt>
                <c:pt idx="3">
                  <c:v>5.0267074875263873</c:v>
                </c:pt>
                <c:pt idx="4">
                  <c:v>3.9211266618240628</c:v>
                </c:pt>
                <c:pt idx="5">
                  <c:v>2.8155458361217365</c:v>
                </c:pt>
                <c:pt idx="6">
                  <c:v>2.5796885933052898</c:v>
                </c:pt>
                <c:pt idx="7">
                  <c:v>1.9900454862639898</c:v>
                </c:pt>
                <c:pt idx="8">
                  <c:v>1.3414380685186904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4A-4D0E-B6BA-8BC4E0F4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92128"/>
        <c:axId val="139470720"/>
      </c:scatterChart>
      <c:valAx>
        <c:axId val="139392128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470720"/>
        <c:crosses val="autoZero"/>
        <c:crossBetween val="midCat"/>
      </c:valAx>
      <c:valAx>
        <c:axId val="13947072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392128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314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'190'!$B$11:$B$24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'190'!$G$11:$G$24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91.310929458068415</c:v>
                </c:pt>
                <c:pt idx="4">
                  <c:v>80.865879503481679</c:v>
                </c:pt>
                <c:pt idx="5">
                  <c:v>78.89797154102331</c:v>
                </c:pt>
                <c:pt idx="6">
                  <c:v>71.177717226763548</c:v>
                </c:pt>
                <c:pt idx="7">
                  <c:v>59.673024523160748</c:v>
                </c:pt>
                <c:pt idx="8">
                  <c:v>43.051771117166204</c:v>
                </c:pt>
                <c:pt idx="9">
                  <c:v>27.247956403269754</c:v>
                </c:pt>
                <c:pt idx="10">
                  <c:v>19.164396003633065</c:v>
                </c:pt>
                <c:pt idx="11">
                  <c:v>14.713896457765676</c:v>
                </c:pt>
                <c:pt idx="12">
                  <c:v>11.565243717832272</c:v>
                </c:pt>
                <c:pt idx="13">
                  <c:v>10.051468362095063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0-4EBC-BEDF-7D7E8ED6C6F2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'190'!$Q$4:$Q$12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'190'!$S$4:$S$12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10-4EBC-BEDF-7D7E8ED6C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0160"/>
        <c:axId val="139723904"/>
      </c:scatterChart>
      <c:valAx>
        <c:axId val="1399801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4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723904"/>
        <c:crosses val="autoZero"/>
        <c:crossBetween val="midCat"/>
      </c:valAx>
      <c:valAx>
        <c:axId val="13972390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9801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153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3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'191'!$B$11:$B$24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'191'!$G$11:$G$24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88.429506246281974</c:v>
                </c:pt>
                <c:pt idx="3">
                  <c:v>88.429506246281974</c:v>
                </c:pt>
                <c:pt idx="4">
                  <c:v>72.724568709101732</c:v>
                </c:pt>
                <c:pt idx="5">
                  <c:v>69.571683521713268</c:v>
                </c:pt>
                <c:pt idx="6">
                  <c:v>56.573468173706118</c:v>
                </c:pt>
                <c:pt idx="7">
                  <c:v>38.816180844735271</c:v>
                </c:pt>
                <c:pt idx="8">
                  <c:v>27.513384889946458</c:v>
                </c:pt>
                <c:pt idx="9">
                  <c:v>16.983938132064239</c:v>
                </c:pt>
                <c:pt idx="10">
                  <c:v>11.838191552647224</c:v>
                </c:pt>
                <c:pt idx="11">
                  <c:v>8.5960737656157029</c:v>
                </c:pt>
                <c:pt idx="12">
                  <c:v>7.0791195716835134</c:v>
                </c:pt>
                <c:pt idx="13">
                  <c:v>6.9898869720404404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2-4EE6-BDA8-024323197CCD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'191'!$Q$4:$Q$12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'191'!$S$4:$S$12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D2-4EE6-BDA8-024323197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8496"/>
        <c:axId val="138928512"/>
      </c:scatterChart>
      <c:valAx>
        <c:axId val="139738496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4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928512"/>
        <c:crosses val="autoZero"/>
        <c:crossBetween val="midCat"/>
      </c:valAx>
      <c:valAx>
        <c:axId val="1389285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738496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1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31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'192'!$B$11:$B$24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'192'!$G$11:$G$24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91.070073362003541</c:v>
                </c:pt>
                <c:pt idx="3">
                  <c:v>84.290412345054392</c:v>
                </c:pt>
                <c:pt idx="4">
                  <c:v>73.387300784214517</c:v>
                </c:pt>
                <c:pt idx="5">
                  <c:v>68.555527447508211</c:v>
                </c:pt>
                <c:pt idx="6">
                  <c:v>55.881608904629381</c:v>
                </c:pt>
                <c:pt idx="7">
                  <c:v>44.093093852770039</c:v>
                </c:pt>
                <c:pt idx="8">
                  <c:v>33.038198836326835</c:v>
                </c:pt>
                <c:pt idx="9">
                  <c:v>23.197571464710332</c:v>
                </c:pt>
                <c:pt idx="10">
                  <c:v>18.466987098406264</c:v>
                </c:pt>
                <c:pt idx="11">
                  <c:v>14.571211737920564</c:v>
                </c:pt>
                <c:pt idx="12">
                  <c:v>10.473058436630392</c:v>
                </c:pt>
                <c:pt idx="13">
                  <c:v>9.35997976220591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C-4040-944B-A31223A61CF7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'192'!$Q$4:$Q$12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'192'!$S$4:$S$12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C-4040-944B-A31223A6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828800"/>
        <c:axId val="139770112"/>
      </c:scatterChart>
      <c:valAx>
        <c:axId val="13882880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4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770112"/>
        <c:crosses val="autoZero"/>
        <c:crossBetween val="midCat"/>
      </c:valAx>
      <c:valAx>
        <c:axId val="139770112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882880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175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53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'193'!$B$11:$B$24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'193'!$G$11:$G$24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89.482391869534382</c:v>
                </c:pt>
                <c:pt idx="4">
                  <c:v>71.756086031671003</c:v>
                </c:pt>
                <c:pt idx="5">
                  <c:v>65.729142046797449</c:v>
                </c:pt>
                <c:pt idx="6">
                  <c:v>50.839045142992205</c:v>
                </c:pt>
                <c:pt idx="7">
                  <c:v>37.154337036161664</c:v>
                </c:pt>
                <c:pt idx="8">
                  <c:v>28.692980382888205</c:v>
                </c:pt>
                <c:pt idx="9">
                  <c:v>21.626093122193325</c:v>
                </c:pt>
                <c:pt idx="10">
                  <c:v>17.017253604348845</c:v>
                </c:pt>
                <c:pt idx="11">
                  <c:v>13.519262585677147</c:v>
                </c:pt>
                <c:pt idx="12">
                  <c:v>11.179390215079172</c:v>
                </c:pt>
                <c:pt idx="13">
                  <c:v>9.2413141101394451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57-4808-8CF3-F36AE762051E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'193'!$Q$4:$Q$12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'193'!$S$4:$S$12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57-4808-8CF3-F36AE7620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7520"/>
        <c:axId val="139229824"/>
      </c:scatterChart>
      <c:valAx>
        <c:axId val="13922752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229824"/>
        <c:crosses val="autoZero"/>
        <c:crossBetween val="midCat"/>
      </c:valAx>
      <c:valAx>
        <c:axId val="139229824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22752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8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69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'194'!$B$11:$B$24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'194'!$G$11:$G$24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88.452520515826492</c:v>
                </c:pt>
                <c:pt idx="4">
                  <c:v>62.368112543962489</c:v>
                </c:pt>
                <c:pt idx="5">
                  <c:v>54.484173505275507</c:v>
                </c:pt>
                <c:pt idx="6">
                  <c:v>37.221570926143009</c:v>
                </c:pt>
                <c:pt idx="7">
                  <c:v>24.267291910902685</c:v>
                </c:pt>
                <c:pt idx="8">
                  <c:v>18.259085580304795</c:v>
                </c:pt>
                <c:pt idx="9">
                  <c:v>13.569753810082052</c:v>
                </c:pt>
                <c:pt idx="10">
                  <c:v>11.107854630715119</c:v>
                </c:pt>
                <c:pt idx="11">
                  <c:v>9.2907385697538096</c:v>
                </c:pt>
                <c:pt idx="12">
                  <c:v>7.8253223915592027</c:v>
                </c:pt>
                <c:pt idx="13">
                  <c:v>7.1512309495896798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43-4EE2-A60A-DAD4015A1B5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'194'!$Q$4:$Q$12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'194'!$S$4:$S$12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43-4EE2-A60A-DAD4015A1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898240"/>
        <c:axId val="140023680"/>
      </c:scatterChart>
      <c:valAx>
        <c:axId val="13989824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40023680"/>
        <c:crosses val="autoZero"/>
        <c:crossBetween val="midCat"/>
      </c:valAx>
      <c:valAx>
        <c:axId val="14002368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3989824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59986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Körnungslinie</a:t>
            </a:r>
          </a:p>
        </c:rich>
      </c:tx>
      <c:layout>
        <c:manualLayout>
          <c:xMode val="edge"/>
          <c:yMode val="edge"/>
          <c:x val="0.42477602267798692"/>
          <c:y val="1.4409406772675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4564056929079"/>
          <c:y val="0.17496405340637275"/>
          <c:w val="0.87264031910595874"/>
          <c:h val="0.69855785174867591"/>
        </c:manualLayout>
      </c:layout>
      <c:scatterChart>
        <c:scatterStyle val="lineMarker"/>
        <c:varyColors val="0"/>
        <c:ser>
          <c:idx val="1"/>
          <c:order val="0"/>
          <c:tx>
            <c:v>Siebung            d&gt; 63µm</c:v>
          </c:tx>
          <c:spPr>
            <a:ln w="38100">
              <a:solidFill>
                <a:schemeClr val="accent2"/>
              </a:solidFill>
              <a:prstDash val="solid"/>
            </a:ln>
          </c:spPr>
          <c:marker>
            <c:symbol val="square"/>
            <c:size val="7"/>
          </c:marker>
          <c:xVal>
            <c:numRef>
              <c:f>'195'!$B$11:$B$24</c:f>
              <c:numCache>
                <c:formatCode>General</c:formatCode>
                <c:ptCount val="14"/>
                <c:pt idx="0">
                  <c:v>50</c:v>
                </c:pt>
                <c:pt idx="1">
                  <c:v>40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6.3</c:v>
                </c:pt>
                <c:pt idx="6" formatCode="0.0">
                  <c:v>4</c:v>
                </c:pt>
                <c:pt idx="7" formatCode="0.0">
                  <c:v>2</c:v>
                </c:pt>
                <c:pt idx="8" formatCode="0.0">
                  <c:v>1</c:v>
                </c:pt>
                <c:pt idx="9">
                  <c:v>0.63</c:v>
                </c:pt>
                <c:pt idx="10" formatCode="0.00">
                  <c:v>0.4</c:v>
                </c:pt>
                <c:pt idx="11" formatCode="0.00">
                  <c:v>0.2</c:v>
                </c:pt>
                <c:pt idx="12" formatCode="0.00">
                  <c:v>0.1</c:v>
                </c:pt>
                <c:pt idx="13" formatCode="0.000">
                  <c:v>6.3E-2</c:v>
                </c:pt>
              </c:numCache>
            </c:numRef>
          </c:xVal>
          <c:yVal>
            <c:numRef>
              <c:f>'195'!$G$11:$G$24</c:f>
              <c:numCache>
                <c:formatCode>0.0</c:formatCode>
                <c:ptCount val="14"/>
                <c:pt idx="0">
                  <c:v>100</c:v>
                </c:pt>
                <c:pt idx="1">
                  <c:v>100</c:v>
                </c:pt>
                <c:pt idx="2">
                  <c:v>85.440471802432739</c:v>
                </c:pt>
                <c:pt idx="3">
                  <c:v>75.119793586435691</c:v>
                </c:pt>
                <c:pt idx="4">
                  <c:v>51.935127165499466</c:v>
                </c:pt>
                <c:pt idx="5">
                  <c:v>48.654625875414702</c:v>
                </c:pt>
                <c:pt idx="6">
                  <c:v>37.007003317360883</c:v>
                </c:pt>
                <c:pt idx="7">
                  <c:v>26.170291190563972</c:v>
                </c:pt>
                <c:pt idx="8">
                  <c:v>20.383339476594202</c:v>
                </c:pt>
                <c:pt idx="9">
                  <c:v>15.812753409509781</c:v>
                </c:pt>
                <c:pt idx="10">
                  <c:v>13.527460375967582</c:v>
                </c:pt>
                <c:pt idx="11">
                  <c:v>11.684482123110966</c:v>
                </c:pt>
                <c:pt idx="12">
                  <c:v>9.583486914854408</c:v>
                </c:pt>
                <c:pt idx="13">
                  <c:v>9.0674530040545633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2D-499F-9725-FC5FCAD95D39}"/>
            </c:ext>
          </c:extLst>
        </c:ser>
        <c:ser>
          <c:idx val="2"/>
          <c:order val="1"/>
          <c:tx>
            <c:v>Sedimentation d&lt; 63µm</c:v>
          </c:tx>
          <c:spPr>
            <a:ln w="38100">
              <a:solidFill>
                <a:srgbClr val="3366FF"/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'195'!$Q$4:$Q$12</c:f>
              <c:numCache>
                <c:formatCode>0.0000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'195'!$S$4:$S$12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2D-499F-9725-FC5FCAD95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12960"/>
        <c:axId val="140301440"/>
      </c:scatterChart>
      <c:valAx>
        <c:axId val="140312960"/>
        <c:scaling>
          <c:logBase val="10"/>
          <c:orientation val="minMax"/>
          <c:max val="100"/>
          <c:min val="1.0000000000000041E-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80808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Korndurchmesser d in mm</a:t>
                </a:r>
              </a:p>
            </c:rich>
          </c:tx>
          <c:layout>
            <c:manualLayout>
              <c:xMode val="edge"/>
              <c:yMode val="edge"/>
              <c:x val="0.38861549258515282"/>
              <c:y val="0.939870377213693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40301440"/>
        <c:crosses val="autoZero"/>
        <c:crossBetween val="midCat"/>
      </c:valAx>
      <c:valAx>
        <c:axId val="140301440"/>
        <c:scaling>
          <c:orientation val="minMax"/>
          <c:max val="100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Siebdurchgang atot (%)</a:t>
                </a:r>
              </a:p>
            </c:rich>
          </c:tx>
          <c:layout>
            <c:manualLayout>
              <c:xMode val="edge"/>
              <c:yMode val="edge"/>
              <c:x val="2.0967744598392762E-2"/>
              <c:y val="0.3024139401347398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de-DE"/>
          </a:p>
        </c:txPr>
        <c:crossAx val="140312960"/>
        <c:crossesAt val="1.0000000000000041E-3"/>
        <c:crossBetween val="midCat"/>
        <c:majorUnit val="10"/>
        <c:minorUnit val="5"/>
      </c:valAx>
      <c:spPr>
        <a:solidFill>
          <a:srgbClr val="FFFFFF"/>
        </a:solidFill>
        <a:ln w="12700">
          <a:solidFill>
            <a:srgbClr val="333333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68154066675569"/>
          <c:y val="0.76472823401560019"/>
          <c:w val="0.27435472551853568"/>
          <c:h val="9.465978121475364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spPr>
    <a:noFill/>
    <a:ln w="12700">
      <a:solidFill>
        <a:schemeClr val="tx1"/>
      </a:solidFill>
    </a:ln>
  </c:spPr>
  <c:txPr>
    <a:bodyPr/>
    <a:lstStyle/>
    <a:p>
      <a:pPr>
        <a:defRPr sz="1400" b="0" i="1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0000000000000062" r="0.70000000000000062" t="0.78740157499999996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4.xml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9.xml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2.xml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4.xml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5.xml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6.xml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7.xml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8.xml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9.xml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0.xml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1.xml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2.xml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3.xml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4.xml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5.xml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6.xml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7.xml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8.xml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9.xml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0.xml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1.xml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2.xml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3.xml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4.xml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5.xml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6.xml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7.xml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8.xml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79749"/>
          <a:ext cx="8380413" cy="6067425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  <xdr:twoCellAnchor editAs="oneCell">
    <xdr:from>
      <xdr:col>14</xdr:col>
      <xdr:colOff>0</xdr:colOff>
      <xdr:row>36</xdr:row>
      <xdr:rowOff>0</xdr:rowOff>
    </xdr:from>
    <xdr:to>
      <xdr:col>15</xdr:col>
      <xdr:colOff>561975</xdr:colOff>
      <xdr:row>38</xdr:row>
      <xdr:rowOff>133350</xdr:rowOff>
    </xdr:to>
    <xdr:pic>
      <xdr:nvPicPr>
        <xdr:cNvPr id="207876" name="Picture 4" descr=" \frac{2}{\frac{1}{5}+\frac{1}{20}} = \frac{2}{\frac{1}{4}} = 8 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010650" y="9191625"/>
          <a:ext cx="1257300" cy="4572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70499" y="3168073"/>
          <a:ext cx="8457624" cy="608387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70499" y="3168073"/>
          <a:ext cx="8457624" cy="608387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65462"/>
          <a:ext cx="8375651" cy="6088062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1938" y="3079749"/>
          <a:ext cx="8380413" cy="6067425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3" name="Gerade Verbindung 2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pSp>
      <xdr:nvGrpSpPr>
        <xdr:cNvPr id="4" name="Gruppieren 3"/>
        <xdr:cNvGrpSpPr/>
      </xdr:nvGrpSpPr>
      <xdr:grpSpPr>
        <a:xfrm>
          <a:off x="5346268" y="3110922"/>
          <a:ext cx="8386474" cy="6091670"/>
          <a:chOff x="5341938" y="3079749"/>
          <a:chExt cx="8380413" cy="6067425"/>
        </a:xfrm>
      </xdr:grpSpPr>
      <xdr:graphicFrame macro="">
        <xdr:nvGraphicFramePr>
          <xdr:cNvPr id="5" name="Diagramm 4"/>
          <xdr:cNvGraphicFramePr/>
        </xdr:nvGraphicFramePr>
        <xdr:xfrm>
          <a:off x="5341938" y="3079749"/>
          <a:ext cx="8380413" cy="606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6" name="Gerade Verbindung 5"/>
          <xdr:cNvCxnSpPr/>
        </xdr:nvCxnSpPr>
        <xdr:spPr>
          <a:xfrm rot="5400000">
            <a:off x="8768578" y="6127652"/>
            <a:ext cx="4477624" cy="1202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Gerade Verbindung 6"/>
          <xdr:cNvCxnSpPr/>
        </xdr:nvCxnSpPr>
        <xdr:spPr>
          <a:xfrm rot="16200000" flipH="1">
            <a:off x="11268030" y="5805445"/>
            <a:ext cx="3803433" cy="665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feld 1"/>
          <xdr:cNvSpPr txBox="1"/>
        </xdr:nvSpPr>
        <xdr:spPr>
          <a:xfrm>
            <a:off x="6342568" y="3879264"/>
            <a:ext cx="140389" cy="193172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9" name="Textfeld 1"/>
          <xdr:cNvSpPr txBox="1"/>
        </xdr:nvSpPr>
        <xdr:spPr>
          <a:xfrm>
            <a:off x="6629440" y="3876265"/>
            <a:ext cx="2050834" cy="187022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10" name="Gerade Verbindung 9"/>
          <xdr:cNvCxnSpPr/>
        </xdr:nvCxnSpPr>
        <xdr:spPr>
          <a:xfrm rot="5400000" flipH="1" flipV="1">
            <a:off x="7933035" y="4021312"/>
            <a:ext cx="267735" cy="16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5400000">
            <a:off x="4385310" y="6132094"/>
            <a:ext cx="4470183" cy="1058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423324" y="5999463"/>
            <a:ext cx="4733153" cy="3347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164404" y="4025005"/>
            <a:ext cx="27517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401589" y="4025049"/>
            <a:ext cx="263275" cy="288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16200000" flipV="1">
            <a:off x="10117932" y="4021932"/>
            <a:ext cx="257179" cy="476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364510" y="4015848"/>
            <a:ext cx="243756" cy="177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663833" y="4025795"/>
            <a:ext cx="264762" cy="288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3952687" y="6121474"/>
            <a:ext cx="4464311" cy="1281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243876" y="6128712"/>
            <a:ext cx="4486031" cy="1054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276968" y="3902294"/>
            <a:ext cx="180404" cy="2156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18544" y="3168073"/>
          <a:ext cx="8457624" cy="608387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139411</xdr:colOff>
      <xdr:row>14</xdr:row>
      <xdr:rowOff>75086</xdr:rowOff>
    </xdr:from>
    <xdr:to>
      <xdr:col>18</xdr:col>
      <xdr:colOff>1075459</xdr:colOff>
      <xdr:row>35</xdr:row>
      <xdr:rowOff>53314</xdr:rowOff>
    </xdr:to>
    <xdr:grpSp>
      <xdr:nvGrpSpPr>
        <xdr:cNvPr id="2" name="Gruppieren 1"/>
        <xdr:cNvGrpSpPr/>
      </xdr:nvGrpSpPr>
      <xdr:grpSpPr>
        <a:xfrm>
          <a:off x="5306724" y="3448524"/>
          <a:ext cx="8032173" cy="5590040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18544" y="3168073"/>
          <a:ext cx="8457624" cy="608387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18544" y="3168073"/>
          <a:ext cx="8457624" cy="608387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438973</xdr:colOff>
      <xdr:row>15</xdr:row>
      <xdr:rowOff>221566</xdr:rowOff>
    </xdr:from>
    <xdr:to>
      <xdr:col>16</xdr:col>
      <xdr:colOff>445994</xdr:colOff>
      <xdr:row>32</xdr:row>
      <xdr:rowOff>228320</xdr:rowOff>
    </xdr:to>
    <xdr:cxnSp macro="">
      <xdr:nvCxnSpPr>
        <xdr:cNvPr id="4" name="Gerade Verbindung 3"/>
        <xdr:cNvCxnSpPr/>
      </xdr:nvCxnSpPr>
      <xdr:spPr>
        <a:xfrm rot="16200000" flipH="1">
          <a:off x="8770680" y="6087712"/>
          <a:ext cx="450031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89549" y="3136900"/>
          <a:ext cx="8455026" cy="606742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6350">
            <a:solidFill>
              <a:schemeClr val="tx1"/>
            </a:solidFill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  <a:ln w="6350">
            <a:solidFill>
              <a:schemeClr val="tx1"/>
            </a:solidFill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63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63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63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635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8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2874" y="3136900"/>
          <a:ext cx="8455026" cy="606742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2874" y="3136900"/>
          <a:ext cx="8455026" cy="606742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8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90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2874" y="3136900"/>
          <a:ext cx="8455026" cy="606742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9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19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00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02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0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0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1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1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139411</xdr:colOff>
      <xdr:row>14</xdr:row>
      <xdr:rowOff>75086</xdr:rowOff>
    </xdr:from>
    <xdr:to>
      <xdr:col>18</xdr:col>
      <xdr:colOff>1075459</xdr:colOff>
      <xdr:row>35</xdr:row>
      <xdr:rowOff>53314</xdr:rowOff>
    </xdr:to>
    <xdr:grpSp>
      <xdr:nvGrpSpPr>
        <xdr:cNvPr id="2" name="Gruppieren 1"/>
        <xdr:cNvGrpSpPr/>
      </xdr:nvGrpSpPr>
      <xdr:grpSpPr>
        <a:xfrm>
          <a:off x="5325244" y="3451169"/>
          <a:ext cx="8048048" cy="555564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1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2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2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2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18</xdr:col>
      <xdr:colOff>1282700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17582" y="3130550"/>
          <a:ext cx="8415868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139411</xdr:colOff>
      <xdr:row>13</xdr:row>
      <xdr:rowOff>75086</xdr:rowOff>
    </xdr:from>
    <xdr:to>
      <xdr:col>18</xdr:col>
      <xdr:colOff>1075459</xdr:colOff>
      <xdr:row>34</xdr:row>
      <xdr:rowOff>53314</xdr:rowOff>
    </xdr:to>
    <xdr:grpSp>
      <xdr:nvGrpSpPr>
        <xdr:cNvPr id="2" name="Gruppieren 1"/>
        <xdr:cNvGrpSpPr/>
      </xdr:nvGrpSpPr>
      <xdr:grpSpPr>
        <a:xfrm>
          <a:off x="5314661" y="3207753"/>
          <a:ext cx="8048048" cy="5555644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30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2874" y="3136900"/>
          <a:ext cx="8455026" cy="6067425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34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916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62491" y="5798812"/>
            <a:ext cx="3583749" cy="73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9525">
            <a:noFill/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36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126999</xdr:colOff>
      <xdr:row>12</xdr:row>
      <xdr:rowOff>241300</xdr:rowOff>
    </xdr:from>
    <xdr:to>
      <xdr:col>19</xdr:col>
      <xdr:colOff>38100</xdr:colOff>
      <xdr:row>36</xdr:row>
      <xdr:rowOff>12700</xdr:rowOff>
    </xdr:to>
    <xdr:grpSp>
      <xdr:nvGrpSpPr>
        <xdr:cNvPr id="2" name="Gruppieren 1"/>
        <xdr:cNvGrpSpPr/>
      </xdr:nvGrpSpPr>
      <xdr:grpSpPr>
        <a:xfrm>
          <a:off x="5228166" y="3130550"/>
          <a:ext cx="8473017" cy="6047317"/>
          <a:chOff x="5554436" y="3254827"/>
          <a:chExt cx="7935685" cy="5611586"/>
        </a:xfrm>
      </xdr:grpSpPr>
      <xdr:sp macro="" textlink="">
        <xdr:nvSpPr>
          <xdr:cNvPr id="3" name="Rechteck 2"/>
          <xdr:cNvSpPr/>
        </xdr:nvSpPr>
        <xdr:spPr>
          <a:xfrm>
            <a:off x="6334125" y="3756931"/>
            <a:ext cx="6939643" cy="243568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de-DE" sz="1100"/>
          </a:p>
        </xdr:txBody>
      </xdr:sp>
      <xdr:graphicFrame macro="">
        <xdr:nvGraphicFramePr>
          <xdr:cNvPr id="4" name="Diagramm 3"/>
          <xdr:cNvGraphicFramePr/>
        </xdr:nvGraphicFramePr>
        <xdr:xfrm>
          <a:off x="5554436" y="3254827"/>
          <a:ext cx="7935685" cy="56115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5" name="Gerade Verbindung 4"/>
          <xdr:cNvCxnSpPr/>
        </xdr:nvCxnSpPr>
        <xdr:spPr>
          <a:xfrm rot="5400000">
            <a:off x="8827633" y="6072190"/>
            <a:ext cx="4150182" cy="6802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Gerade Verbindung 5"/>
          <xdr:cNvCxnSpPr/>
        </xdr:nvCxnSpPr>
        <xdr:spPr>
          <a:xfrm rot="16200000" flipH="1">
            <a:off x="11185072" y="5776231"/>
            <a:ext cx="3551463" cy="1360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feld 1"/>
          <xdr:cNvSpPr txBox="1"/>
        </xdr:nvSpPr>
        <xdr:spPr>
          <a:xfrm>
            <a:off x="6556229" y="4025448"/>
            <a:ext cx="132362" cy="176717"/>
          </a:xfrm>
          <a:prstGeom prst="rect">
            <a:avLst/>
          </a:prstGeom>
          <a:ln w="12700">
            <a:solidFill>
              <a:schemeClr val="tx1"/>
            </a:solidFill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T</a:t>
            </a:r>
          </a:p>
          <a:p>
            <a:endParaRPr lang="de-DE" sz="600"/>
          </a:p>
        </xdr:txBody>
      </xdr:sp>
      <xdr:sp macro="" textlink="">
        <xdr:nvSpPr>
          <xdr:cNvPr id="8" name="Textfeld 1"/>
          <xdr:cNvSpPr txBox="1"/>
        </xdr:nvSpPr>
        <xdr:spPr>
          <a:xfrm>
            <a:off x="6781797" y="3983493"/>
            <a:ext cx="1933577" cy="171091"/>
          </a:xfrm>
          <a:prstGeom prst="rect">
            <a:avLst/>
          </a:prstGeom>
          <a:ln w="12700">
            <a:solidFill>
              <a:schemeClr val="tx1"/>
            </a:solidFill>
          </a:ln>
        </xdr:spPr>
        <xdr:txBody>
          <a:bodyPr wrap="square" lIns="36000" tIns="36000" rIns="36000" bIns="36000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de-DE" sz="1200"/>
              <a:t>       fU             mU</a:t>
            </a:r>
            <a:r>
              <a:rPr lang="de-DE" sz="1200" baseline="0"/>
              <a:t>               gU</a:t>
            </a:r>
            <a:endParaRPr lang="de-DE" sz="1200"/>
          </a:p>
          <a:p>
            <a:endParaRPr lang="de-DE" sz="1000"/>
          </a:p>
        </xdr:txBody>
      </xdr:sp>
      <xdr:cxnSp macro="">
        <xdr:nvCxnSpPr>
          <xdr:cNvPr id="9" name="Gerade Verbindung 8"/>
          <xdr:cNvCxnSpPr/>
        </xdr:nvCxnSpPr>
        <xdr:spPr>
          <a:xfrm rot="5400000" flipH="1" flipV="1">
            <a:off x="8014607" y="4116161"/>
            <a:ext cx="244929" cy="158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Gerade Verbindung 9"/>
          <xdr:cNvCxnSpPr/>
        </xdr:nvCxnSpPr>
        <xdr:spPr>
          <a:xfrm>
            <a:off x="6328001" y="8141382"/>
            <a:ext cx="6925356" cy="9297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Gerade Verbindung 10"/>
          <xdr:cNvCxnSpPr/>
        </xdr:nvCxnSpPr>
        <xdr:spPr>
          <a:xfrm rot="16200000" flipH="1">
            <a:off x="4691062" y="6058581"/>
            <a:ext cx="4116163" cy="13608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Gerade Verbindung 11"/>
          <xdr:cNvCxnSpPr/>
        </xdr:nvCxnSpPr>
        <xdr:spPr>
          <a:xfrm rot="16200000" flipH="1">
            <a:off x="6606266" y="5946325"/>
            <a:ext cx="4377420" cy="9525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Gerade Verbindung 12"/>
          <xdr:cNvCxnSpPr/>
        </xdr:nvCxnSpPr>
        <xdr:spPr>
          <a:xfrm rot="5400000" flipH="1" flipV="1">
            <a:off x="7290027" y="4119563"/>
            <a:ext cx="251733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Gerade Verbindung 13"/>
          <xdr:cNvCxnSpPr/>
        </xdr:nvCxnSpPr>
        <xdr:spPr>
          <a:xfrm rot="16200000" flipV="1">
            <a:off x="9399134" y="4119563"/>
            <a:ext cx="240849" cy="2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Gerade Verbindung 14"/>
          <xdr:cNvCxnSpPr/>
        </xdr:nvCxnSpPr>
        <xdr:spPr>
          <a:xfrm rot="5400000" flipH="1" flipV="1">
            <a:off x="10059079" y="4112763"/>
            <a:ext cx="258540" cy="680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Gerade Verbindung 15"/>
          <xdr:cNvCxnSpPr/>
        </xdr:nvCxnSpPr>
        <xdr:spPr>
          <a:xfrm rot="16200000" flipV="1">
            <a:off x="12168188" y="4126366"/>
            <a:ext cx="253096" cy="1363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Gerade Verbindung 16"/>
          <xdr:cNvCxnSpPr/>
        </xdr:nvCxnSpPr>
        <xdr:spPr>
          <a:xfrm rot="5400000" flipH="1" flipV="1">
            <a:off x="11532054" y="4120246"/>
            <a:ext cx="242209" cy="2719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Gerade Verbindung 17"/>
          <xdr:cNvCxnSpPr/>
        </xdr:nvCxnSpPr>
        <xdr:spPr>
          <a:xfrm rot="5400000" flipH="1" flipV="1">
            <a:off x="4257675" y="6068785"/>
            <a:ext cx="4158344" cy="544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Gerade Verbindung 18"/>
          <xdr:cNvCxnSpPr/>
        </xdr:nvCxnSpPr>
        <xdr:spPr>
          <a:xfrm rot="5400000">
            <a:off x="11174187" y="6061982"/>
            <a:ext cx="4181475" cy="9525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Textfeld 19"/>
          <xdr:cNvSpPr txBox="1"/>
        </xdr:nvSpPr>
        <xdr:spPr>
          <a:xfrm>
            <a:off x="13049250" y="4007305"/>
            <a:ext cx="170089" cy="197304"/>
          </a:xfrm>
          <a:prstGeom prst="rect">
            <a:avLst/>
          </a:prstGeom>
          <a:noFill/>
          <a:ln w="12700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36000" tIns="36000" rIns="36000" bIns="36000" rtlCol="0" anchor="t"/>
          <a:lstStyle/>
          <a:p>
            <a:r>
              <a:rPr lang="de-DE" sz="1100"/>
              <a:t>X</a:t>
            </a:r>
          </a:p>
        </xdr:txBody>
      </xdr:sp>
    </xdr:grpSp>
    <xdr:clientData/>
  </xdr:twoCellAnchor>
</xdr:wsDr>
</file>

<file path=xl/drawings/drawing238.xml><?xml version="1.0" encoding="utf-8"?>
<c:userShapes xmlns:c="http://schemas.openxmlformats.org/drawingml/2006/chart">
  <cdr:relSizeAnchor xmlns:cdr="http://schemas.openxmlformats.org/drawingml/2006/chartDrawing">
    <cdr:from>
      <cdr:x>0.41647</cdr:x>
      <cdr:y>0.12646</cdr:y>
    </cdr:from>
    <cdr:to>
      <cdr:x>0.66689</cdr:x>
      <cdr:y>0.17013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304965" y="709632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4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4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4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5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5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5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6154620" y="3628607"/>
          <a:ext cx="7360481" cy="26624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8790011" y="6118247"/>
          <a:ext cx="4453808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1291843" y="5800681"/>
          <a:ext cx="3803433" cy="66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6342568" y="3879264"/>
          <a:ext cx="140389" cy="1931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6629440" y="3876265"/>
          <a:ext cx="2050834" cy="187022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7933035" y="4021312"/>
          <a:ext cx="267735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6162675" y="8364797"/>
          <a:ext cx="733077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4385310" y="6132094"/>
          <a:ext cx="4470183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6423324" y="5999463"/>
          <a:ext cx="473315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7164404" y="4025005"/>
          <a:ext cx="2751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9401589" y="4025049"/>
          <a:ext cx="2632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0117932" y="4021932"/>
          <a:ext cx="257179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2364510" y="4015848"/>
          <a:ext cx="24375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1663833" y="4025795"/>
          <a:ext cx="2647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3952687" y="6121474"/>
          <a:ext cx="4464311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1262926" y="6123948"/>
          <a:ext cx="4486031" cy="105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3276968" y="3902294"/>
          <a:ext cx="180404" cy="2156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6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6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6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7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7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7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7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8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8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8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9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9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9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29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0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0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0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1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1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2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2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3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3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3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3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4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8031045" y="2428457"/>
          <a:ext cx="71699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8808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9921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8218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505865" y="2590390"/>
          <a:ext cx="23937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101285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8039100" y="5345372"/>
          <a:ext cx="71593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7123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5475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93170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6494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24658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44504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7402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691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8203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52010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4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4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50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52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56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30045</xdr:colOff>
      <xdr:row>14</xdr:row>
      <xdr:rowOff>237707</xdr:rowOff>
    </xdr:from>
    <xdr:to>
      <xdr:col>18</xdr:col>
      <xdr:colOff>1151651</xdr:colOff>
      <xdr:row>16</xdr:row>
      <xdr:rowOff>8654</xdr:rowOff>
    </xdr:to>
    <xdr:sp macro="" textlink="">
      <xdr:nvSpPr>
        <xdr:cNvPr id="2" name="Rechteck 1"/>
        <xdr:cNvSpPr/>
      </xdr:nvSpPr>
      <xdr:spPr>
        <a:xfrm>
          <a:off x="7650045" y="2428457"/>
          <a:ext cx="6827081" cy="17099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de-DE" sz="1100"/>
        </a:p>
      </xdr:txBody>
    </xdr:sp>
    <xdr:clientData/>
  </xdr:twoCellAnchor>
  <xdr:twoCellAnchor>
    <xdr:from>
      <xdr:col>8</xdr:col>
      <xdr:colOff>55563</xdr:colOff>
      <xdr:row>12</xdr:row>
      <xdr:rowOff>184149</xdr:rowOff>
    </xdr:from>
    <xdr:to>
      <xdr:col>18</xdr:col>
      <xdr:colOff>1358901</xdr:colOff>
      <xdr:row>35</xdr:row>
      <xdr:rowOff>231774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450179</xdr:colOff>
      <xdr:row>16</xdr:row>
      <xdr:rowOff>8654</xdr:rowOff>
    </xdr:from>
    <xdr:to>
      <xdr:col>16</xdr:col>
      <xdr:colOff>457200</xdr:colOff>
      <xdr:row>32</xdr:row>
      <xdr:rowOff>261937</xdr:rowOff>
    </xdr:to>
    <xdr:cxnSp macro="">
      <xdr:nvCxnSpPr>
        <xdr:cNvPr id="4" name="Gerade Verbindung 3"/>
        <xdr:cNvCxnSpPr/>
      </xdr:nvCxnSpPr>
      <xdr:spPr>
        <a:xfrm rot="16200000" flipH="1">
          <a:off x="11271273" y="3970360"/>
          <a:ext cx="2748833" cy="702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826782</xdr:colOff>
      <xdr:row>16</xdr:row>
      <xdr:rowOff>16092</xdr:rowOff>
    </xdr:from>
    <xdr:to>
      <xdr:col>18</xdr:col>
      <xdr:colOff>833438</xdr:colOff>
      <xdr:row>30</xdr:row>
      <xdr:rowOff>171450</xdr:rowOff>
    </xdr:to>
    <xdr:cxnSp macro="">
      <xdr:nvCxnSpPr>
        <xdr:cNvPr id="5" name="Gerade Verbindung 4"/>
        <xdr:cNvCxnSpPr/>
      </xdr:nvCxnSpPr>
      <xdr:spPr>
        <a:xfrm rot="16200000" flipH="1">
          <a:off x="13268282" y="3814717"/>
          <a:ext cx="241278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217993</xdr:colOff>
      <xdr:row>15</xdr:row>
      <xdr:rowOff>240714</xdr:rowOff>
    </xdr:from>
    <xdr:to>
      <xdr:col>10</xdr:col>
      <xdr:colOff>358382</xdr:colOff>
      <xdr:row>16</xdr:row>
      <xdr:rowOff>186236</xdr:rowOff>
    </xdr:to>
    <xdr:sp macro="" textlink="">
      <xdr:nvSpPr>
        <xdr:cNvPr id="6" name="Textfeld 1"/>
        <xdr:cNvSpPr txBox="1"/>
      </xdr:nvSpPr>
      <xdr:spPr>
        <a:xfrm>
          <a:off x="7837993" y="2593389"/>
          <a:ext cx="140389" cy="155072"/>
        </a:xfrm>
        <a:prstGeom prst="rect">
          <a:avLst/>
        </a:prstGeom>
        <a:ln w="9525">
          <a:noFill/>
        </a:ln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T</a:t>
          </a:r>
        </a:p>
        <a:p>
          <a:endParaRPr lang="de-DE" sz="600"/>
        </a:p>
      </xdr:txBody>
    </xdr:sp>
    <xdr:clientData/>
  </xdr:twoCellAnchor>
  <xdr:twoCellAnchor>
    <xdr:from>
      <xdr:col>10</xdr:col>
      <xdr:colOff>504865</xdr:colOff>
      <xdr:row>15</xdr:row>
      <xdr:rowOff>237715</xdr:rowOff>
    </xdr:from>
    <xdr:to>
      <xdr:col>13</xdr:col>
      <xdr:colOff>498299</xdr:colOff>
      <xdr:row>16</xdr:row>
      <xdr:rowOff>177087</xdr:rowOff>
    </xdr:to>
    <xdr:sp macro="" textlink="">
      <xdr:nvSpPr>
        <xdr:cNvPr id="7" name="Textfeld 1"/>
        <xdr:cNvSpPr txBox="1"/>
      </xdr:nvSpPr>
      <xdr:spPr>
        <a:xfrm>
          <a:off x="8124865" y="2590390"/>
          <a:ext cx="2279434" cy="158447"/>
        </a:xfrm>
        <a:prstGeom prst="rect">
          <a:avLst/>
        </a:prstGeom>
      </xdr:spPr>
      <xdr:txBody>
        <a:bodyPr wrap="square" lIns="36000" tIns="36000" rIns="36000" bIns="36000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de-DE" sz="1200"/>
            <a:t>       fU             mU</a:t>
          </a:r>
          <a:r>
            <a:rPr lang="de-DE" sz="1200" baseline="0"/>
            <a:t>               gU</a:t>
          </a:r>
          <a:endParaRPr lang="de-DE" sz="1200"/>
        </a:p>
        <a:p>
          <a:endParaRPr lang="de-DE" sz="1000"/>
        </a:p>
      </xdr:txBody>
    </xdr:sp>
    <xdr:clientData/>
  </xdr:twoCellAnchor>
  <xdr:twoCellAnchor>
    <xdr:from>
      <xdr:col>12</xdr:col>
      <xdr:colOff>607986</xdr:colOff>
      <xdr:row>16</xdr:row>
      <xdr:rowOff>2086</xdr:rowOff>
    </xdr:from>
    <xdr:to>
      <xdr:col>12</xdr:col>
      <xdr:colOff>609670</xdr:colOff>
      <xdr:row>16</xdr:row>
      <xdr:rowOff>269821</xdr:rowOff>
    </xdr:to>
    <xdr:cxnSp macro="">
      <xdr:nvCxnSpPr>
        <xdr:cNvPr id="8" name="Gerade Verbindung 7"/>
        <xdr:cNvCxnSpPr/>
      </xdr:nvCxnSpPr>
      <xdr:spPr>
        <a:xfrm rot="5400000" flipH="1" flipV="1">
          <a:off x="9671348" y="2673524"/>
          <a:ext cx="162960" cy="16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33</xdr:row>
      <xdr:rowOff>1847</xdr:rowOff>
    </xdr:from>
    <xdr:to>
      <xdr:col>18</xdr:col>
      <xdr:colOff>1130003</xdr:colOff>
      <xdr:row>33</xdr:row>
      <xdr:rowOff>9525</xdr:rowOff>
    </xdr:to>
    <xdr:cxnSp macro="">
      <xdr:nvCxnSpPr>
        <xdr:cNvPr id="9" name="Gerade Verbindung 8"/>
        <xdr:cNvCxnSpPr/>
      </xdr:nvCxnSpPr>
      <xdr:spPr>
        <a:xfrm flipV="1">
          <a:off x="7658100" y="5345372"/>
          <a:ext cx="6816428" cy="767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490537</xdr:colOff>
      <xdr:row>16</xdr:row>
      <xdr:rowOff>16092</xdr:rowOff>
    </xdr:from>
    <xdr:to>
      <xdr:col>10</xdr:col>
      <xdr:colOff>501117</xdr:colOff>
      <xdr:row>33</xdr:row>
      <xdr:rowOff>9525</xdr:rowOff>
    </xdr:to>
    <xdr:cxnSp macro="">
      <xdr:nvCxnSpPr>
        <xdr:cNvPr id="10" name="Gerade Verbindung 9"/>
        <xdr:cNvCxnSpPr/>
      </xdr:nvCxnSpPr>
      <xdr:spPr>
        <a:xfrm rot="5400000">
          <a:off x="6742748" y="3974681"/>
          <a:ext cx="2746158" cy="105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606252</xdr:colOff>
      <xdr:row>14</xdr:row>
      <xdr:rowOff>243660</xdr:rowOff>
    </xdr:from>
    <xdr:to>
      <xdr:col>13</xdr:col>
      <xdr:colOff>609599</xdr:colOff>
      <xdr:row>33</xdr:row>
      <xdr:rowOff>4763</xdr:rowOff>
    </xdr:to>
    <xdr:cxnSp macro="">
      <xdr:nvCxnSpPr>
        <xdr:cNvPr id="11" name="Gerade Verbindung 10"/>
        <xdr:cNvCxnSpPr/>
      </xdr:nvCxnSpPr>
      <xdr:spPr>
        <a:xfrm rot="16200000" flipH="1">
          <a:off x="9052224" y="3884913"/>
          <a:ext cx="2923403" cy="3347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596390</xdr:colOff>
      <xdr:row>16</xdr:row>
      <xdr:rowOff>1219</xdr:rowOff>
    </xdr:from>
    <xdr:to>
      <xdr:col>11</xdr:col>
      <xdr:colOff>596391</xdr:colOff>
      <xdr:row>16</xdr:row>
      <xdr:rowOff>276392</xdr:rowOff>
    </xdr:to>
    <xdr:cxnSp macro="">
      <xdr:nvCxnSpPr>
        <xdr:cNvPr id="12" name="Gerade Verbindung 11"/>
        <xdr:cNvCxnSpPr/>
      </xdr:nvCxnSpPr>
      <xdr:spPr>
        <a:xfrm rot="5400000" flipH="1" flipV="1">
          <a:off x="8897954" y="2672455"/>
          <a:ext cx="160873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521132</xdr:colOff>
      <xdr:row>16</xdr:row>
      <xdr:rowOff>8656</xdr:rowOff>
    </xdr:from>
    <xdr:to>
      <xdr:col>14</xdr:col>
      <xdr:colOff>524021</xdr:colOff>
      <xdr:row>16</xdr:row>
      <xdr:rowOff>271931</xdr:rowOff>
    </xdr:to>
    <xdr:cxnSp macro="">
      <xdr:nvCxnSpPr>
        <xdr:cNvPr id="13" name="Gerade Verbindung 12"/>
        <xdr:cNvCxnSpPr/>
      </xdr:nvCxnSpPr>
      <xdr:spPr>
        <a:xfrm rot="16200000" flipV="1">
          <a:off x="11116089" y="2672499"/>
          <a:ext cx="148975" cy="288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538164</xdr:colOff>
      <xdr:row>16</xdr:row>
      <xdr:rowOff>9525</xdr:rowOff>
    </xdr:from>
    <xdr:to>
      <xdr:col>15</xdr:col>
      <xdr:colOff>542929</xdr:colOff>
      <xdr:row>16</xdr:row>
      <xdr:rowOff>266704</xdr:rowOff>
    </xdr:to>
    <xdr:cxnSp macro="">
      <xdr:nvCxnSpPr>
        <xdr:cNvPr id="14" name="Gerade Verbindung 13"/>
        <xdr:cNvCxnSpPr/>
      </xdr:nvCxnSpPr>
      <xdr:spPr>
        <a:xfrm rot="16200000" flipV="1">
          <a:off x="11894345" y="2674144"/>
          <a:ext cx="152404" cy="47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122051</xdr:colOff>
      <xdr:row>16</xdr:row>
      <xdr:rowOff>8657</xdr:rowOff>
    </xdr:from>
    <xdr:to>
      <xdr:col>18</xdr:col>
      <xdr:colOff>123825</xdr:colOff>
      <xdr:row>16</xdr:row>
      <xdr:rowOff>252413</xdr:rowOff>
    </xdr:to>
    <xdr:cxnSp macro="">
      <xdr:nvCxnSpPr>
        <xdr:cNvPr id="15" name="Gerade Verbindung 14"/>
        <xdr:cNvCxnSpPr/>
      </xdr:nvCxnSpPr>
      <xdr:spPr>
        <a:xfrm rot="16200000" flipV="1">
          <a:off x="13764685" y="2672823"/>
          <a:ext cx="148506" cy="17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212372</xdr:colOff>
      <xdr:row>16</xdr:row>
      <xdr:rowOff>8656</xdr:rowOff>
    </xdr:from>
    <xdr:to>
      <xdr:col>17</xdr:col>
      <xdr:colOff>215256</xdr:colOff>
      <xdr:row>16</xdr:row>
      <xdr:rowOff>273418</xdr:rowOff>
    </xdr:to>
    <xdr:cxnSp macro="">
      <xdr:nvCxnSpPr>
        <xdr:cNvPr id="16" name="Gerade Verbindung 15"/>
        <xdr:cNvCxnSpPr/>
      </xdr:nvCxnSpPr>
      <xdr:spPr>
        <a:xfrm rot="5400000" flipH="1" flipV="1">
          <a:off x="13092583" y="2673245"/>
          <a:ext cx="150462" cy="28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53861</xdr:colOff>
      <xdr:row>16</xdr:row>
      <xdr:rowOff>9525</xdr:rowOff>
    </xdr:from>
    <xdr:to>
      <xdr:col>10</xdr:col>
      <xdr:colOff>66675</xdr:colOff>
      <xdr:row>32</xdr:row>
      <xdr:rowOff>273311</xdr:rowOff>
    </xdr:to>
    <xdr:cxnSp macro="">
      <xdr:nvCxnSpPr>
        <xdr:cNvPr id="17" name="Gerade Verbindung 16"/>
        <xdr:cNvCxnSpPr/>
      </xdr:nvCxnSpPr>
      <xdr:spPr>
        <a:xfrm rot="5400000" flipH="1" flipV="1">
          <a:off x="6310125" y="3964061"/>
          <a:ext cx="2740286" cy="1281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1137221</xdr:colOff>
      <xdr:row>16</xdr:row>
      <xdr:rowOff>3</xdr:rowOff>
    </xdr:from>
    <xdr:to>
      <xdr:col>18</xdr:col>
      <xdr:colOff>1147763</xdr:colOff>
      <xdr:row>33</xdr:row>
      <xdr:rowOff>9284</xdr:rowOff>
    </xdr:to>
    <xdr:cxnSp macro="">
      <xdr:nvCxnSpPr>
        <xdr:cNvPr id="18" name="Gerade Verbindung 17"/>
        <xdr:cNvCxnSpPr/>
      </xdr:nvCxnSpPr>
      <xdr:spPr>
        <a:xfrm rot="5400000">
          <a:off x="13096489" y="3976060"/>
          <a:ext cx="276200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913518</xdr:colOff>
      <xdr:row>16</xdr:row>
      <xdr:rowOff>16094</xdr:rowOff>
    </xdr:from>
    <xdr:to>
      <xdr:col>18</xdr:col>
      <xdr:colOff>1093922</xdr:colOff>
      <xdr:row>16</xdr:row>
      <xdr:rowOff>231770</xdr:rowOff>
    </xdr:to>
    <xdr:sp macro="" textlink="">
      <xdr:nvSpPr>
        <xdr:cNvPr id="19" name="Textfeld 18"/>
        <xdr:cNvSpPr txBox="1"/>
      </xdr:nvSpPr>
      <xdr:spPr>
        <a:xfrm>
          <a:off x="14477118" y="2606894"/>
          <a:ext cx="0" cy="149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36000" tIns="36000" rIns="36000" bIns="36000" rtlCol="0" anchor="t"/>
        <a:lstStyle/>
        <a:p>
          <a:r>
            <a:rPr lang="de-DE" sz="1100"/>
            <a:t>X</a:t>
          </a:r>
        </a:p>
      </xdr:txBody>
    </xdr:sp>
    <xdr:clientData/>
  </xdr:twoCellAnchor>
</xdr:wsDr>
</file>

<file path=xl/drawings/drawing358.xml><?xml version="1.0" encoding="utf-8"?>
<c:userShapes xmlns:c="http://schemas.openxmlformats.org/drawingml/2006/chart">
  <cdr:relSizeAnchor xmlns:cdr="http://schemas.openxmlformats.org/drawingml/2006/chartDrawing">
    <cdr:from>
      <cdr:x>0.4176</cdr:x>
      <cdr:y>0.13189</cdr:y>
    </cdr:from>
    <cdr:to>
      <cdr:x>0.66802</cdr:x>
      <cdr:y>0.17556</cdr:y>
    </cdr:to>
    <cdr:sp macro="" textlink="">
      <cdr:nvSpPr>
        <cdr:cNvPr id="5" name="Textfeld 1"/>
        <cdr:cNvSpPr txBox="1"/>
      </cdr:nvSpPr>
      <cdr:spPr>
        <a:xfrm xmlns:a="http://schemas.openxmlformats.org/drawingml/2006/main">
          <a:off x="3514922" y="809056"/>
          <a:ext cx="2107767" cy="267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fS                 mS</a:t>
          </a:r>
          <a:r>
            <a:rPr lang="de-DE" sz="1200" baseline="0"/>
            <a:t>                gS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</cdr:x>
      <cdr:y>0</cdr:y>
    </cdr:from>
    <cdr:to>
      <cdr:x>1</cdr:x>
      <cdr:y>0.06909</cdr:y>
    </cdr:to>
    <cdr:sp macro="" textlink="">
      <cdr:nvSpPr>
        <cdr:cNvPr id="7" name="Textfeld 1"/>
        <cdr:cNvSpPr txBox="1"/>
      </cdr:nvSpPr>
      <cdr:spPr>
        <a:xfrm xmlns:a="http://schemas.openxmlformats.org/drawingml/2006/main">
          <a:off x="0" y="0"/>
          <a:ext cx="5654674" cy="257532"/>
        </a:xfrm>
        <a:prstGeom xmlns:a="http://schemas.openxmlformats.org/drawingml/2006/main" prst="rect">
          <a:avLst/>
        </a:prstGeom>
        <a:ln xmlns:a="http://schemas.openxmlformats.org/drawingml/2006/main" w="9525">
          <a:noFill/>
        </a:ln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de-DE" sz="600"/>
        </a:p>
      </cdr:txBody>
    </cdr:sp>
  </cdr:relSizeAnchor>
  <cdr:relSizeAnchor xmlns:cdr="http://schemas.openxmlformats.org/drawingml/2006/chartDrawing">
    <cdr:from>
      <cdr:x>0.99972</cdr:x>
      <cdr:y>0</cdr:y>
    </cdr:from>
    <cdr:to>
      <cdr:x>1</cdr:x>
      <cdr:y>0.00041</cdr:y>
    </cdr:to>
    <cdr:sp macro="" textlink="">
      <cdr:nvSpPr>
        <cdr:cNvPr id="56" name="Gerade Verbindung 55"/>
        <cdr:cNvSpPr/>
      </cdr:nvSpPr>
      <cdr:spPr>
        <a:xfrm xmlns:a="http://schemas.openxmlformats.org/drawingml/2006/main" rot="5400000" flipH="1" flipV="1">
          <a:off x="5629275" y="-123825"/>
          <a:ext cx="1588" cy="158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0.67816</cdr:x>
      <cdr:y>0.13094</cdr:y>
    </cdr:from>
    <cdr:to>
      <cdr:x>0.92858</cdr:x>
      <cdr:y>0.17461</cdr:y>
    </cdr:to>
    <cdr:sp macro="" textlink="">
      <cdr:nvSpPr>
        <cdr:cNvPr id="12" name="Textfeld 1"/>
        <cdr:cNvSpPr txBox="1"/>
      </cdr:nvSpPr>
      <cdr:spPr>
        <a:xfrm xmlns:a="http://schemas.openxmlformats.org/drawingml/2006/main">
          <a:off x="5381625" y="734785"/>
          <a:ext cx="1987254" cy="245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r>
            <a:rPr lang="de-DE" sz="1200"/>
            <a:t>       fG                 mG</a:t>
          </a:r>
          <a:r>
            <a:rPr lang="de-DE" sz="1200" baseline="0"/>
            <a:t>           gG</a:t>
          </a:r>
          <a:endParaRPr lang="de-DE" sz="1200"/>
        </a:p>
        <a:p xmlns:a="http://schemas.openxmlformats.org/drawingml/2006/main">
          <a:endParaRPr lang="de-DE" sz="1000"/>
        </a:p>
      </cdr:txBody>
    </cdr:sp>
  </cdr:relSizeAnchor>
  <cdr:relSizeAnchor xmlns:cdr="http://schemas.openxmlformats.org/drawingml/2006/chartDrawing">
    <cdr:from>
      <cdr:x>0.63435</cdr:x>
      <cdr:y>0.09026</cdr:y>
    </cdr:from>
    <cdr:to>
      <cdr:x>0.74046</cdr:x>
      <cdr:y>0.12561</cdr:y>
    </cdr:to>
    <cdr:sp macro="" textlink="">
      <cdr:nvSpPr>
        <cdr:cNvPr id="8" name="Textfeld 1"/>
        <cdr:cNvSpPr txBox="1"/>
      </cdr:nvSpPr>
      <cdr:spPr>
        <a:xfrm xmlns:a="http://schemas.openxmlformats.org/drawingml/2006/main">
          <a:off x="5033990" y="506494"/>
          <a:ext cx="842055" cy="1983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36000" tIns="36000" rIns="36000" bIns="36000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pPr algn="ctr"/>
          <a:r>
            <a:rPr lang="de-DE" sz="1200">
              <a:latin typeface="Arial" pitchFamily="34" charset="0"/>
              <a:cs typeface="Arial" pitchFamily="34" charset="0"/>
            </a:rPr>
            <a:t>Siebkorn</a:t>
          </a:r>
        </a:p>
        <a:p xmlns:a="http://schemas.openxmlformats.org/drawingml/2006/main">
          <a:pPr algn="ctr"/>
          <a:endParaRPr lang="de-DE" sz="1000"/>
        </a:p>
      </cdr:txBody>
    </cdr:sp>
  </cdr:relSizeAnchor>
  <cdr:relSizeAnchor xmlns:cdr="http://schemas.openxmlformats.org/drawingml/2006/chartDrawing">
    <cdr:from>
      <cdr:x>0.17411</cdr:x>
      <cdr:y>0.08977</cdr:y>
    </cdr:from>
    <cdr:to>
      <cdr:x>0.34774</cdr:x>
      <cdr:y>0.12318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1381691" y="503746"/>
          <a:ext cx="1377837" cy="1874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r>
            <a:rPr lang="de-DE" sz="1200">
              <a:latin typeface="Arial" pitchFamily="34" charset="0"/>
              <a:cs typeface="Arial" pitchFamily="34" charset="0"/>
            </a:rPr>
            <a:t>Schlämmkorn</a:t>
          </a:r>
        </a:p>
        <a:p xmlns:a="http://schemas.openxmlformats.org/drawingml/2006/main">
          <a:endParaRPr lang="de-DE" sz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%20Lin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1"/>
      <sheetName val="G2"/>
      <sheetName val="G5"/>
      <sheetName val="G11"/>
      <sheetName val="G13"/>
      <sheetName val="G15"/>
      <sheetName val="G17"/>
      <sheetName val="M2"/>
      <sheetName val="M5"/>
      <sheetName val="M12"/>
      <sheetName val="M21"/>
      <sheetName val="DPIL-Ksieb"/>
      <sheetName val="Vergleich DPIL"/>
      <sheetName val="ALLE Daten"/>
      <sheetName val="DPIL-Ksieb gute Werte"/>
      <sheetName val="DPIL-Slug gute Werte"/>
      <sheetName val="KSieb-KPerm"/>
      <sheetName val="KSIEB und Slug - DP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57">
          <cell r="L57" t="str">
            <v>Korrelation K-Werte Siebanalyse-DPIL</v>
          </cell>
        </row>
        <row r="58">
          <cell r="M58">
            <v>123.78794476965055</v>
          </cell>
          <cell r="N58">
            <v>4.6529999999999997E-5</v>
          </cell>
        </row>
        <row r="59">
          <cell r="M59">
            <v>110.86476735542047</v>
          </cell>
          <cell r="N59">
            <v>2.4749999999999999E-5</v>
          </cell>
        </row>
        <row r="60">
          <cell r="M60">
            <v>88.980876243006747</v>
          </cell>
          <cell r="N60">
            <v>1.5610000000000001E-5</v>
          </cell>
        </row>
        <row r="61">
          <cell r="M61">
            <v>417.26444812245347</v>
          </cell>
          <cell r="N61">
            <v>1.6750000000000001E-3</v>
          </cell>
        </row>
        <row r="62">
          <cell r="M62">
            <v>311.74013342477724</v>
          </cell>
          <cell r="N62">
            <v>1.6750000000000001E-3</v>
          </cell>
        </row>
        <row r="63">
          <cell r="M63">
            <v>490.79198725450965</v>
          </cell>
          <cell r="N63">
            <v>1.6750000000000001E-3</v>
          </cell>
        </row>
        <row r="64">
          <cell r="M64">
            <v>500.23472552505433</v>
          </cell>
          <cell r="N64">
            <v>2.0449999999999999E-3</v>
          </cell>
        </row>
        <row r="65">
          <cell r="M65">
            <v>515.90713671539118</v>
          </cell>
          <cell r="N65">
            <v>2.0449999999999999E-3</v>
          </cell>
        </row>
        <row r="66">
          <cell r="M66">
            <v>320.38840933316089</v>
          </cell>
          <cell r="N66">
            <v>6.5550000000000005E-4</v>
          </cell>
        </row>
        <row r="67">
          <cell r="M67">
            <v>106.00706713780919</v>
          </cell>
          <cell r="N67">
            <v>1.2639999999999999E-5</v>
          </cell>
        </row>
        <row r="68">
          <cell r="M68">
            <v>104.71204188481676</v>
          </cell>
          <cell r="N68">
            <v>1.2639999999999999E-5</v>
          </cell>
        </row>
        <row r="69">
          <cell r="M69">
            <v>449.74669302947746</v>
          </cell>
          <cell r="N69">
            <v>2.7629999999999998E-3</v>
          </cell>
        </row>
        <row r="70">
          <cell r="M70">
            <v>449.30550206680556</v>
          </cell>
          <cell r="N70">
            <v>4.6490000000000004E-3</v>
          </cell>
        </row>
        <row r="71">
          <cell r="M71">
            <v>461.90625470436902</v>
          </cell>
          <cell r="N71">
            <v>4.6490000000000004E-3</v>
          </cell>
        </row>
        <row r="72">
          <cell r="M72">
            <v>203.97491479411516</v>
          </cell>
          <cell r="N72">
            <v>5.2930000000000002E-4</v>
          </cell>
        </row>
        <row r="73">
          <cell r="M73">
            <v>417.58</v>
          </cell>
          <cell r="N73">
            <v>1.9910000000000001E-3</v>
          </cell>
        </row>
        <row r="74">
          <cell r="M74">
            <v>423.38412005197694</v>
          </cell>
          <cell r="N74">
            <v>1.9910000000000001E-3</v>
          </cell>
        </row>
        <row r="75">
          <cell r="M75">
            <v>596.78</v>
          </cell>
          <cell r="N75">
            <v>9.3430000000000006E-3</v>
          </cell>
        </row>
        <row r="76">
          <cell r="M76">
            <v>481.61648004028052</v>
          </cell>
          <cell r="N76">
            <v>6.3439999999999998E-3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45.bin"/><Relationship Id="rId4" Type="http://schemas.openxmlformats.org/officeDocument/2006/relationships/comments" Target="../comments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46.bin"/><Relationship Id="rId4" Type="http://schemas.openxmlformats.org/officeDocument/2006/relationships/comments" Target="../comments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47.bin"/><Relationship Id="rId4" Type="http://schemas.openxmlformats.org/officeDocument/2006/relationships/comments" Target="../comments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49.bin"/><Relationship Id="rId4" Type="http://schemas.openxmlformats.org/officeDocument/2006/relationships/comments" Target="../comments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50.bin"/><Relationship Id="rId4" Type="http://schemas.openxmlformats.org/officeDocument/2006/relationships/comments" Target="../comments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51.bin"/><Relationship Id="rId4" Type="http://schemas.openxmlformats.org/officeDocument/2006/relationships/comments" Target="../comments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52.bin"/><Relationship Id="rId4" Type="http://schemas.openxmlformats.org/officeDocument/2006/relationships/comments" Target="../comments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53.bin"/><Relationship Id="rId4" Type="http://schemas.openxmlformats.org/officeDocument/2006/relationships/comments" Target="../comments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55.bin"/><Relationship Id="rId4" Type="http://schemas.openxmlformats.org/officeDocument/2006/relationships/comments" Target="../comments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56.bin"/><Relationship Id="rId4" Type="http://schemas.openxmlformats.org/officeDocument/2006/relationships/comments" Target="../comments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57.bin"/><Relationship Id="rId4" Type="http://schemas.openxmlformats.org/officeDocument/2006/relationships/comments" Target="../comments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59.bin"/><Relationship Id="rId4" Type="http://schemas.openxmlformats.org/officeDocument/2006/relationships/comments" Target="../comments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61.bin"/><Relationship Id="rId4" Type="http://schemas.openxmlformats.org/officeDocument/2006/relationships/comments" Target="../comments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62.bin"/><Relationship Id="rId4" Type="http://schemas.openxmlformats.org/officeDocument/2006/relationships/comments" Target="../comments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63.bin"/><Relationship Id="rId4" Type="http://schemas.openxmlformats.org/officeDocument/2006/relationships/comments" Target="../comments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64.bin"/><Relationship Id="rId4" Type="http://schemas.openxmlformats.org/officeDocument/2006/relationships/comments" Target="../comments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65.bin"/><Relationship Id="rId4" Type="http://schemas.openxmlformats.org/officeDocument/2006/relationships/comments" Target="../comments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66.bin"/><Relationship Id="rId4" Type="http://schemas.openxmlformats.org/officeDocument/2006/relationships/comments" Target="../comments6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67.bin"/><Relationship Id="rId4" Type="http://schemas.openxmlformats.org/officeDocument/2006/relationships/comments" Target="../comments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68.bin"/><Relationship Id="rId4" Type="http://schemas.openxmlformats.org/officeDocument/2006/relationships/comments" Target="../comments68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9.vml"/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69.bin"/><Relationship Id="rId4" Type="http://schemas.openxmlformats.org/officeDocument/2006/relationships/comments" Target="../comments6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0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70.bin"/><Relationship Id="rId4" Type="http://schemas.openxmlformats.org/officeDocument/2006/relationships/comments" Target="../comments70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1.vml"/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71.bin"/><Relationship Id="rId4" Type="http://schemas.openxmlformats.org/officeDocument/2006/relationships/comments" Target="../comments71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2.vml"/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72.bin"/><Relationship Id="rId4" Type="http://schemas.openxmlformats.org/officeDocument/2006/relationships/comments" Target="../comments72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3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73.bin"/><Relationship Id="rId4" Type="http://schemas.openxmlformats.org/officeDocument/2006/relationships/comments" Target="../comments7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4.vml"/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74.bin"/><Relationship Id="rId4" Type="http://schemas.openxmlformats.org/officeDocument/2006/relationships/comments" Target="../comments74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5.vml"/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75.bin"/><Relationship Id="rId4" Type="http://schemas.openxmlformats.org/officeDocument/2006/relationships/comments" Target="../comments75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6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76.bin"/><Relationship Id="rId4" Type="http://schemas.openxmlformats.org/officeDocument/2006/relationships/comments" Target="../comments76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7.vml"/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77.bin"/><Relationship Id="rId4" Type="http://schemas.openxmlformats.org/officeDocument/2006/relationships/comments" Target="../comments77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78.bin"/><Relationship Id="rId4" Type="http://schemas.openxmlformats.org/officeDocument/2006/relationships/comments" Target="../comments7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79.bin"/><Relationship Id="rId4" Type="http://schemas.openxmlformats.org/officeDocument/2006/relationships/comments" Target="../comments79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80.bin"/><Relationship Id="rId4" Type="http://schemas.openxmlformats.org/officeDocument/2006/relationships/comments" Target="../comments80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81.bin"/><Relationship Id="rId4" Type="http://schemas.openxmlformats.org/officeDocument/2006/relationships/comments" Target="../comments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82.bin"/><Relationship Id="rId4" Type="http://schemas.openxmlformats.org/officeDocument/2006/relationships/comments" Target="../comments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83.bin"/><Relationship Id="rId4" Type="http://schemas.openxmlformats.org/officeDocument/2006/relationships/comments" Target="../comments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84.bin"/><Relationship Id="rId4" Type="http://schemas.openxmlformats.org/officeDocument/2006/relationships/comments" Target="../comments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85.bin"/><Relationship Id="rId4" Type="http://schemas.openxmlformats.org/officeDocument/2006/relationships/comments" Target="../comments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86.bin"/><Relationship Id="rId4" Type="http://schemas.openxmlformats.org/officeDocument/2006/relationships/comments" Target="../comments86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87.bin"/><Relationship Id="rId4" Type="http://schemas.openxmlformats.org/officeDocument/2006/relationships/comments" Target="../comments87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88.bin"/><Relationship Id="rId4" Type="http://schemas.openxmlformats.org/officeDocument/2006/relationships/comments" Target="../comments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89.bin"/><Relationship Id="rId4" Type="http://schemas.openxmlformats.org/officeDocument/2006/relationships/comments" Target="../comments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90.bin"/><Relationship Id="rId4" Type="http://schemas.openxmlformats.org/officeDocument/2006/relationships/comments" Target="../comments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91.bin"/><Relationship Id="rId4" Type="http://schemas.openxmlformats.org/officeDocument/2006/relationships/comments" Target="../comments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93.bin"/><Relationship Id="rId4" Type="http://schemas.openxmlformats.org/officeDocument/2006/relationships/comments" Target="../comments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94.bin"/><Relationship Id="rId4" Type="http://schemas.openxmlformats.org/officeDocument/2006/relationships/comments" Target="../comments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95.bin"/><Relationship Id="rId4" Type="http://schemas.openxmlformats.org/officeDocument/2006/relationships/comments" Target="../comments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97.bin"/><Relationship Id="rId4" Type="http://schemas.openxmlformats.org/officeDocument/2006/relationships/comments" Target="../comments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99.bin"/><Relationship Id="rId4" Type="http://schemas.openxmlformats.org/officeDocument/2006/relationships/comments" Target="../comments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00.bin"/><Relationship Id="rId4" Type="http://schemas.openxmlformats.org/officeDocument/2006/relationships/comments" Target="../comments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101.bin"/><Relationship Id="rId4" Type="http://schemas.openxmlformats.org/officeDocument/2006/relationships/comments" Target="../comments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02.bin"/><Relationship Id="rId4" Type="http://schemas.openxmlformats.org/officeDocument/2006/relationships/comments" Target="../comments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103.bin"/><Relationship Id="rId4" Type="http://schemas.openxmlformats.org/officeDocument/2006/relationships/comments" Target="../comments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04.bin"/><Relationship Id="rId4" Type="http://schemas.openxmlformats.org/officeDocument/2006/relationships/comments" Target="../comments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105.bin"/><Relationship Id="rId4" Type="http://schemas.openxmlformats.org/officeDocument/2006/relationships/comments" Target="../comments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107.bin"/><Relationship Id="rId4" Type="http://schemas.openxmlformats.org/officeDocument/2006/relationships/comments" Target="../comments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108.bin"/><Relationship Id="rId4" Type="http://schemas.openxmlformats.org/officeDocument/2006/relationships/comments" Target="../comments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109.bin"/><Relationship Id="rId4" Type="http://schemas.openxmlformats.org/officeDocument/2006/relationships/comments" Target="../comments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110.bin"/><Relationship Id="rId4" Type="http://schemas.openxmlformats.org/officeDocument/2006/relationships/comments" Target="../comments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111.bin"/><Relationship Id="rId4" Type="http://schemas.openxmlformats.org/officeDocument/2006/relationships/comments" Target="../comments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112.bin"/><Relationship Id="rId4" Type="http://schemas.openxmlformats.org/officeDocument/2006/relationships/comments" Target="../comments112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113.bin"/><Relationship Id="rId4" Type="http://schemas.openxmlformats.org/officeDocument/2006/relationships/comments" Target="../comments11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114.bin"/><Relationship Id="rId4" Type="http://schemas.openxmlformats.org/officeDocument/2006/relationships/comments" Target="../comments114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115.bin"/><Relationship Id="rId4" Type="http://schemas.openxmlformats.org/officeDocument/2006/relationships/comments" Target="../comments115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116.bin"/><Relationship Id="rId4" Type="http://schemas.openxmlformats.org/officeDocument/2006/relationships/comments" Target="../comments116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117.bin"/><Relationship Id="rId4" Type="http://schemas.openxmlformats.org/officeDocument/2006/relationships/comments" Target="../comments117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118.bin"/><Relationship Id="rId4" Type="http://schemas.openxmlformats.org/officeDocument/2006/relationships/comments" Target="../comments11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119.bin"/><Relationship Id="rId4" Type="http://schemas.openxmlformats.org/officeDocument/2006/relationships/comments" Target="../comments119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120.bin"/><Relationship Id="rId4" Type="http://schemas.openxmlformats.org/officeDocument/2006/relationships/comments" Target="../comments120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121.bin"/><Relationship Id="rId4" Type="http://schemas.openxmlformats.org/officeDocument/2006/relationships/comments" Target="../comments121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122.bin"/><Relationship Id="rId4" Type="http://schemas.openxmlformats.org/officeDocument/2006/relationships/comments" Target="../comments122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123.bin"/><Relationship Id="rId4" Type="http://schemas.openxmlformats.org/officeDocument/2006/relationships/comments" Target="../comments12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124.bin"/><Relationship Id="rId4" Type="http://schemas.openxmlformats.org/officeDocument/2006/relationships/comments" Target="../comments124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125.bin"/><Relationship Id="rId4" Type="http://schemas.openxmlformats.org/officeDocument/2006/relationships/comments" Target="../comments125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126.bin"/><Relationship Id="rId4" Type="http://schemas.openxmlformats.org/officeDocument/2006/relationships/comments" Target="../comments126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127.bin"/><Relationship Id="rId4" Type="http://schemas.openxmlformats.org/officeDocument/2006/relationships/comments" Target="../comments127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128.bin"/><Relationship Id="rId4" Type="http://schemas.openxmlformats.org/officeDocument/2006/relationships/comments" Target="../comments12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9.vml"/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129.bin"/><Relationship Id="rId4" Type="http://schemas.openxmlformats.org/officeDocument/2006/relationships/comments" Target="../comments129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0.vml"/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130.bin"/><Relationship Id="rId4" Type="http://schemas.openxmlformats.org/officeDocument/2006/relationships/comments" Target="../comments130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1.vml"/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131.bin"/><Relationship Id="rId4" Type="http://schemas.openxmlformats.org/officeDocument/2006/relationships/comments" Target="../comments131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2.vml"/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132.bin"/><Relationship Id="rId4" Type="http://schemas.openxmlformats.org/officeDocument/2006/relationships/comments" Target="../comments132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3.vml"/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133.bin"/><Relationship Id="rId4" Type="http://schemas.openxmlformats.org/officeDocument/2006/relationships/comments" Target="../comments133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4.vml"/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134.bin"/><Relationship Id="rId4" Type="http://schemas.openxmlformats.org/officeDocument/2006/relationships/comments" Target="../comments134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5.vml"/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135.bin"/><Relationship Id="rId4" Type="http://schemas.openxmlformats.org/officeDocument/2006/relationships/comments" Target="../comments135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6.vml"/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136.bin"/><Relationship Id="rId4" Type="http://schemas.openxmlformats.org/officeDocument/2006/relationships/comments" Target="../comments136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7.vml"/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137.bin"/><Relationship Id="rId4" Type="http://schemas.openxmlformats.org/officeDocument/2006/relationships/comments" Target="../comments137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8.vml"/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138.bin"/><Relationship Id="rId4" Type="http://schemas.openxmlformats.org/officeDocument/2006/relationships/comments" Target="../comments138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9.vml"/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139.bin"/><Relationship Id="rId4" Type="http://schemas.openxmlformats.org/officeDocument/2006/relationships/comments" Target="../comments139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0.vml"/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140.bin"/><Relationship Id="rId4" Type="http://schemas.openxmlformats.org/officeDocument/2006/relationships/comments" Target="../comments140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1.vml"/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141.bin"/><Relationship Id="rId4" Type="http://schemas.openxmlformats.org/officeDocument/2006/relationships/comments" Target="../comments141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2.vml"/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142.bin"/><Relationship Id="rId4" Type="http://schemas.openxmlformats.org/officeDocument/2006/relationships/comments" Target="../comments142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3.vml"/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143.bin"/><Relationship Id="rId4" Type="http://schemas.openxmlformats.org/officeDocument/2006/relationships/comments" Target="../comments143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4.vml"/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144.bin"/><Relationship Id="rId4" Type="http://schemas.openxmlformats.org/officeDocument/2006/relationships/comments" Target="../comments144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5.vml"/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145.bin"/><Relationship Id="rId4" Type="http://schemas.openxmlformats.org/officeDocument/2006/relationships/comments" Target="../comments145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6.vml"/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146.bin"/><Relationship Id="rId4" Type="http://schemas.openxmlformats.org/officeDocument/2006/relationships/comments" Target="../comments146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7.vml"/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147.bin"/><Relationship Id="rId4" Type="http://schemas.openxmlformats.org/officeDocument/2006/relationships/comments" Target="../comments147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8.vml"/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148.bin"/><Relationship Id="rId4" Type="http://schemas.openxmlformats.org/officeDocument/2006/relationships/comments" Target="../comments148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9.vml"/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149.bin"/><Relationship Id="rId4" Type="http://schemas.openxmlformats.org/officeDocument/2006/relationships/comments" Target="../comments149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0.vml"/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150.bin"/><Relationship Id="rId4" Type="http://schemas.openxmlformats.org/officeDocument/2006/relationships/comments" Target="../comments150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1.vml"/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151.bin"/><Relationship Id="rId4" Type="http://schemas.openxmlformats.org/officeDocument/2006/relationships/comments" Target="../comments151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2.vml"/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152.bin"/><Relationship Id="rId4" Type="http://schemas.openxmlformats.org/officeDocument/2006/relationships/comments" Target="../comments152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3.vml"/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153.bin"/><Relationship Id="rId4" Type="http://schemas.openxmlformats.org/officeDocument/2006/relationships/comments" Target="../comments153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4.vml"/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154.bin"/><Relationship Id="rId4" Type="http://schemas.openxmlformats.org/officeDocument/2006/relationships/comments" Target="../comments154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5.vml"/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155.bin"/><Relationship Id="rId4" Type="http://schemas.openxmlformats.org/officeDocument/2006/relationships/comments" Target="../comments155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6.vml"/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156.bin"/><Relationship Id="rId4" Type="http://schemas.openxmlformats.org/officeDocument/2006/relationships/comments" Target="../comments156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7.vml"/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157.bin"/><Relationship Id="rId4" Type="http://schemas.openxmlformats.org/officeDocument/2006/relationships/comments" Target="../comments157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8.vml"/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158.bin"/><Relationship Id="rId4" Type="http://schemas.openxmlformats.org/officeDocument/2006/relationships/comments" Target="../comments158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9.vml"/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159.bin"/><Relationship Id="rId4" Type="http://schemas.openxmlformats.org/officeDocument/2006/relationships/comments" Target="../comments159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0.vml"/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160.bin"/><Relationship Id="rId4" Type="http://schemas.openxmlformats.org/officeDocument/2006/relationships/comments" Target="../comments160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1.vml"/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161.bin"/><Relationship Id="rId4" Type="http://schemas.openxmlformats.org/officeDocument/2006/relationships/comments" Target="../comments161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2.vml"/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162.bin"/><Relationship Id="rId4" Type="http://schemas.openxmlformats.org/officeDocument/2006/relationships/comments" Target="../comments162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3.vml"/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163.bin"/><Relationship Id="rId4" Type="http://schemas.openxmlformats.org/officeDocument/2006/relationships/comments" Target="../comments163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4.vml"/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164.bin"/><Relationship Id="rId4" Type="http://schemas.openxmlformats.org/officeDocument/2006/relationships/comments" Target="../comments164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5.vml"/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165.bin"/><Relationship Id="rId4" Type="http://schemas.openxmlformats.org/officeDocument/2006/relationships/comments" Target="../comments165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6.vml"/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166.bin"/><Relationship Id="rId4" Type="http://schemas.openxmlformats.org/officeDocument/2006/relationships/comments" Target="../comments166.x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7.vml"/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167.bin"/><Relationship Id="rId4" Type="http://schemas.openxmlformats.org/officeDocument/2006/relationships/comments" Target="../comments167.x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8.vml"/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168.bin"/><Relationship Id="rId4" Type="http://schemas.openxmlformats.org/officeDocument/2006/relationships/comments" Target="../comments168.xm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9.vml"/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169.bin"/><Relationship Id="rId4" Type="http://schemas.openxmlformats.org/officeDocument/2006/relationships/comments" Target="../comments169.x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0.vml"/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170.bin"/><Relationship Id="rId4" Type="http://schemas.openxmlformats.org/officeDocument/2006/relationships/comments" Target="../comments170.xm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1.vml"/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171.bin"/><Relationship Id="rId4" Type="http://schemas.openxmlformats.org/officeDocument/2006/relationships/comments" Target="../comments171.x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2.vml"/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172.bin"/><Relationship Id="rId4" Type="http://schemas.openxmlformats.org/officeDocument/2006/relationships/comments" Target="../comments172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3.vml"/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173.bin"/><Relationship Id="rId4" Type="http://schemas.openxmlformats.org/officeDocument/2006/relationships/comments" Target="../comments173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4.vml"/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174.bin"/><Relationship Id="rId4" Type="http://schemas.openxmlformats.org/officeDocument/2006/relationships/comments" Target="../comments174.xm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5.vml"/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175.bin"/><Relationship Id="rId4" Type="http://schemas.openxmlformats.org/officeDocument/2006/relationships/comments" Target="../comments175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6.vml"/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176.bin"/><Relationship Id="rId4" Type="http://schemas.openxmlformats.org/officeDocument/2006/relationships/comments" Target="../comments176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7.vml"/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177.bin"/><Relationship Id="rId4" Type="http://schemas.openxmlformats.org/officeDocument/2006/relationships/comments" Target="../comments177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8.vml"/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178.bin"/><Relationship Id="rId4" Type="http://schemas.openxmlformats.org/officeDocument/2006/relationships/comments" Target="../comments178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9.vml"/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179.bin"/><Relationship Id="rId4" Type="http://schemas.openxmlformats.org/officeDocument/2006/relationships/comments" Target="../comments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AE38"/>
  <sheetViews>
    <sheetView topLeftCell="I10" zoomScaleNormal="10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">
      <c r="A4" s="127" t="s">
        <v>26</v>
      </c>
      <c r="B4" s="127"/>
      <c r="C4" s="128"/>
      <c r="D4" s="130" t="s">
        <v>24</v>
      </c>
      <c r="E4" s="128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712.8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181.8</v>
      </c>
      <c r="F13" s="170">
        <f t="shared" si="13"/>
        <v>25.530122173851989</v>
      </c>
      <c r="G13" s="182">
        <f t="shared" si="14"/>
        <v>74.469877826148007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208.1</v>
      </c>
      <c r="F14" s="170">
        <f t="shared" si="13"/>
        <v>29.223423676449933</v>
      </c>
      <c r="G14" s="182">
        <f t="shared" si="14"/>
        <v>45.246454149698074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115.4</v>
      </c>
      <c r="F15" s="194">
        <f t="shared" si="13"/>
        <v>16.205589102654123</v>
      </c>
      <c r="G15" s="195">
        <f t="shared" si="14"/>
        <v>29.040865047043951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20</v>
      </c>
      <c r="F16" s="170">
        <f t="shared" si="13"/>
        <v>2.8085942985535741</v>
      </c>
      <c r="G16" s="176">
        <f t="shared" si="14"/>
        <v>26.232270748490379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37.1</v>
      </c>
      <c r="F17" s="170">
        <f t="shared" si="13"/>
        <v>5.2099424238168792</v>
      </c>
      <c r="G17" s="182">
        <f t="shared" si="14"/>
        <v>21.022328324673499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30</v>
      </c>
      <c r="F18" s="170">
        <f t="shared" si="13"/>
        <v>4.2128914478303612</v>
      </c>
      <c r="G18" s="182">
        <f t="shared" si="14"/>
        <v>16.809436876843137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41.1</v>
      </c>
      <c r="F19" s="170">
        <f t="shared" si="13"/>
        <v>5.7716612835275942</v>
      </c>
      <c r="G19" s="182">
        <f t="shared" si="14"/>
        <v>11.037775593315542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28.2</v>
      </c>
      <c r="F20" s="170">
        <f t="shared" si="13"/>
        <v>3.9601179609605386</v>
      </c>
      <c r="G20" s="182">
        <f t="shared" si="14"/>
        <v>7.0776576323550042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28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</v>
      </c>
      <c r="F21" s="170">
        <f t="shared" si="13"/>
        <v>0.98300800449375081</v>
      </c>
      <c r="G21" s="182">
        <f t="shared" si="14"/>
        <v>6.0946496278612532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0.88</v>
      </c>
      <c r="X21" s="530" t="s">
        <v>340</v>
      </c>
      <c r="Y21" s="530">
        <f>C38</f>
        <v>3.3593601218815459</v>
      </c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30.4</v>
      </c>
      <c r="F22" s="170">
        <f t="shared" si="13"/>
        <v>4.2690633338014328</v>
      </c>
      <c r="G22" s="182">
        <f t="shared" si="14"/>
        <v>1.8255862940598204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31.818181818181817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6.4</v>
      </c>
      <c r="F23" s="170">
        <f t="shared" si="13"/>
        <v>0.89875017553714376</v>
      </c>
      <c r="G23" s="211">
        <f t="shared" si="14"/>
        <v>0.92683611852267667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3.1</v>
      </c>
      <c r="F24" s="213">
        <f t="shared" si="13"/>
        <v>0.43533211627580398</v>
      </c>
      <c r="G24" s="214">
        <f t="shared" si="14"/>
        <v>0.49150400224687268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9.2525311999999971E-3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3.5</v>
      </c>
      <c r="F25" s="170">
        <f t="shared" si="13"/>
        <v>0.4915040022468754</v>
      </c>
      <c r="G25" s="176">
        <f>G24-F25</f>
        <v>-2.7200464103316335E-15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147">
        <v>712.8</v>
      </c>
      <c r="D26" s="735" t="s">
        <v>19</v>
      </c>
      <c r="E26" s="221">
        <f>SUM(E12:E25)</f>
        <v>712.1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0.69999999999993179</v>
      </c>
      <c r="F27" s="310">
        <f>IF((E27/G6*100)&gt;1,"Fehler zu groß",(E27/G6*100))</f>
        <v>9.8204264870921987E-2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6.584568319999999E-4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803" t="str">
        <f>IF(W21&lt;0.61,"OK","ungültig")</f>
        <v>ungültig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(W24)</f>
        <v>9.2525311999999971E-3</v>
      </c>
      <c r="W36" s="838">
        <v>1.494E-2</v>
      </c>
      <c r="X36" s="530"/>
      <c r="Y36" s="530"/>
    </row>
    <row r="37" spans="1:25" x14ac:dyDescent="0.2">
      <c r="O37"/>
    </row>
    <row r="38" spans="1:25" x14ac:dyDescent="0.2">
      <c r="C38" s="116">
        <f>HARMEAN(B13:B19)</f>
        <v>3.3593601218815459</v>
      </c>
    </row>
  </sheetData>
  <sheetProtection selectLockedCells="1"/>
  <protectedRanges>
    <protectedRange password="C4F2" sqref="E3:E4 C3:C6 D5:D6 G3:G6 F5 C26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163.1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26.9</v>
      </c>
      <c r="F14" s="170">
        <f t="shared" si="13"/>
        <v>16.513198281154082</v>
      </c>
      <c r="G14" s="182">
        <f t="shared" si="14"/>
        <v>83.486801718845925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42.2</v>
      </c>
      <c r="F15" s="194">
        <f t="shared" si="13"/>
        <v>25.905463474524247</v>
      </c>
      <c r="G15" s="195">
        <f t="shared" si="14"/>
        <v>57.581338244321678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4.9000000000000004</v>
      </c>
      <c r="F16" s="170">
        <f t="shared" si="13"/>
        <v>3.0079803560466543</v>
      </c>
      <c r="G16" s="176">
        <f t="shared" si="14"/>
        <v>54.573357888275027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9.1</v>
      </c>
      <c r="F17" s="170">
        <f t="shared" si="13"/>
        <v>5.5862492326580719</v>
      </c>
      <c r="G17" s="182">
        <f t="shared" si="14"/>
        <v>48.987108655616957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8.1999999999999993</v>
      </c>
      <c r="F18" s="170">
        <f t="shared" si="13"/>
        <v>5.0337630448127682</v>
      </c>
      <c r="G18" s="182">
        <f t="shared" si="14"/>
        <v>43.953345610804192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8.1999999999999993</v>
      </c>
      <c r="F19" s="170">
        <f t="shared" si="13"/>
        <v>5.0337630448127682</v>
      </c>
      <c r="G19" s="182">
        <f t="shared" si="14"/>
        <v>38.919582565991426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7.4</v>
      </c>
      <c r="F20" s="170">
        <f t="shared" si="13"/>
        <v>4.5426642111724984</v>
      </c>
      <c r="G20" s="182">
        <f t="shared" si="14"/>
        <v>34.376918354818926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7.8</v>
      </c>
      <c r="F21" s="170">
        <f t="shared" si="13"/>
        <v>4.7882136279926328</v>
      </c>
      <c r="G21" s="182">
        <f t="shared" si="14"/>
        <v>29.588704726826293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26.4</v>
      </c>
      <c r="F22" s="170">
        <f t="shared" si="13"/>
        <v>16.206261510128911</v>
      </c>
      <c r="G22" s="182">
        <f t="shared" si="14"/>
        <v>13.382443216697382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70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16.399999999999999</v>
      </c>
      <c r="F23" s="170">
        <f t="shared" si="13"/>
        <v>10.067526089625536</v>
      </c>
      <c r="G23" s="211">
        <f t="shared" si="14"/>
        <v>3.3149171270718458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3.9</v>
      </c>
      <c r="F24" s="213">
        <f t="shared" si="13"/>
        <v>2.3941068139963164</v>
      </c>
      <c r="G24" s="214">
        <f t="shared" si="14"/>
        <v>0.92081031307552941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2.688299999999999E-4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1.5</v>
      </c>
      <c r="F25" s="170">
        <f t="shared" si="13"/>
        <v>0.92081031307550631</v>
      </c>
      <c r="G25" s="176">
        <f>G24-F25</f>
        <v>2.3092638912203256E-14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162.9</v>
      </c>
      <c r="F26" s="305">
        <f>SUM(F12:F25)</f>
        <v>99.999999999999972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0.19999999999998863</v>
      </c>
      <c r="F27" s="310">
        <f>IF((E27/G6*100)&gt;1,"Fehler zu groß",(E27/G6*100))</f>
        <v>0.12262415695891395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1.9131300000000001E-5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1.35E-4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2.0191499999999994E-4</v>
      </c>
      <c r="W36" s="838">
        <v>1.098E-3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"/>
  <dimension ref="A1:AE36"/>
  <sheetViews>
    <sheetView topLeftCell="L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703.8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151.9</v>
      </c>
      <c r="F14" s="170">
        <f t="shared" si="13"/>
        <v>21.607396870554766</v>
      </c>
      <c r="G14" s="182">
        <f t="shared" si="14"/>
        <v>78.392603129445234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146.30000000000001</v>
      </c>
      <c r="F15" s="194">
        <f t="shared" si="13"/>
        <v>20.810810810810811</v>
      </c>
      <c r="G15" s="195">
        <f t="shared" si="14"/>
        <v>57.581792318634427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36.299999999999997</v>
      </c>
      <c r="F16" s="170">
        <f t="shared" si="13"/>
        <v>5.1635846372688476</v>
      </c>
      <c r="G16" s="176">
        <f t="shared" si="14"/>
        <v>52.41820768136558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40.200000000000003</v>
      </c>
      <c r="F17" s="170">
        <f t="shared" si="13"/>
        <v>5.7183499288762452</v>
      </c>
      <c r="G17" s="182">
        <f t="shared" si="14"/>
        <v>46.699857752489336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49.2</v>
      </c>
      <c r="F18" s="170">
        <f t="shared" si="13"/>
        <v>6.9985775248933155</v>
      </c>
      <c r="G18" s="182">
        <f t="shared" si="14"/>
        <v>39.701280227596023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55.9</v>
      </c>
      <c r="F19" s="170">
        <f t="shared" si="13"/>
        <v>7.9516358463726888</v>
      </c>
      <c r="G19" s="182">
        <f t="shared" si="14"/>
        <v>31.749644381223334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66</v>
      </c>
      <c r="F20" s="170">
        <f t="shared" si="13"/>
        <v>9.3883357041251774</v>
      </c>
      <c r="G20" s="182">
        <f t="shared" si="14"/>
        <v>22.361308677098158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37.4</v>
      </c>
      <c r="F21" s="170">
        <f t="shared" si="13"/>
        <v>5.3200568990042667</v>
      </c>
      <c r="G21" s="182">
        <f t="shared" si="14"/>
        <v>17.041251778093891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0.27500000000000002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97</v>
      </c>
      <c r="F22" s="170">
        <f t="shared" si="13"/>
        <v>13.79800853485064</v>
      </c>
      <c r="G22" s="182">
        <f t="shared" si="14"/>
        <v>3.243243243243251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38.18181818181818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12.5</v>
      </c>
      <c r="F23" s="170">
        <f t="shared" si="13"/>
        <v>1.7780938833570414</v>
      </c>
      <c r="G23" s="211">
        <f t="shared" si="14"/>
        <v>1.4651493598862095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4.0999999999999996</v>
      </c>
      <c r="F24" s="213">
        <f t="shared" si="13"/>
        <v>0.58321479374110952</v>
      </c>
      <c r="G24" s="214">
        <f t="shared" si="14"/>
        <v>0.88193456614510002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9.0356749999999993E-4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6.2</v>
      </c>
      <c r="F25" s="170">
        <f t="shared" si="13"/>
        <v>0.88193456614509247</v>
      </c>
      <c r="G25" s="176">
        <f>G24-F25</f>
        <v>7.5495165674510645E-15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703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0.79999999999995453</v>
      </c>
      <c r="F27" s="310">
        <f>IF((E27/G6*100)&gt;1,"Fehler zu groß",(E27/G6*100))</f>
        <v>0.1136686558681379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6.4302425000000018E-5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4.2999999999999999E-4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6.6678374999999993E-4</v>
      </c>
      <c r="W36" s="838">
        <v>2.928E-3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"/>
  <dimension ref="A1:AE36"/>
  <sheetViews>
    <sheetView topLeftCell="K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1002.1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302.60000000000002</v>
      </c>
      <c r="F14" s="170">
        <f t="shared" si="13"/>
        <v>30.196587166949413</v>
      </c>
      <c r="G14" s="182">
        <f t="shared" si="14"/>
        <v>69.803412833050587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165.9</v>
      </c>
      <c r="F15" s="194">
        <f t="shared" si="13"/>
        <v>16.55523400858198</v>
      </c>
      <c r="G15" s="195">
        <f t="shared" si="14"/>
        <v>53.24817882446861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41.1</v>
      </c>
      <c r="F16" s="170">
        <f t="shared" si="13"/>
        <v>4.1013870871170548</v>
      </c>
      <c r="G16" s="176">
        <f t="shared" si="14"/>
        <v>49.146791737351556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59.7</v>
      </c>
      <c r="F17" s="170">
        <f t="shared" si="13"/>
        <v>5.9574892725276927</v>
      </c>
      <c r="G17" s="182">
        <f t="shared" si="14"/>
        <v>43.189302464823861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83.1</v>
      </c>
      <c r="F18" s="170">
        <f t="shared" si="13"/>
        <v>8.2925855703023643</v>
      </c>
      <c r="G18" s="182">
        <f t="shared" si="14"/>
        <v>34.896716894521496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91.1</v>
      </c>
      <c r="F19" s="170">
        <f t="shared" si="13"/>
        <v>9.0909090909090917</v>
      </c>
      <c r="G19" s="182">
        <f t="shared" si="14"/>
        <v>25.805807803612403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144.69999999999999</v>
      </c>
      <c r="F20" s="170">
        <f t="shared" si="13"/>
        <v>14.439676678974154</v>
      </c>
      <c r="G20" s="182">
        <f t="shared" si="14"/>
        <v>11.366131124638249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12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17.8</v>
      </c>
      <c r="F21" s="170">
        <f t="shared" si="13"/>
        <v>1.7762698333499651</v>
      </c>
      <c r="G21" s="182">
        <f t="shared" si="14"/>
        <v>9.5898612912882832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80.400000000000006</v>
      </c>
      <c r="F22" s="170">
        <f t="shared" si="13"/>
        <v>8.0231513820975966</v>
      </c>
      <c r="G22" s="182">
        <f t="shared" si="14"/>
        <v>1.5667099091906866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29.26829268292683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7.9</v>
      </c>
      <c r="F23" s="170">
        <f t="shared" si="13"/>
        <v>0.78834447659914197</v>
      </c>
      <c r="G23" s="211">
        <f t="shared" si="14"/>
        <v>0.77836543259154467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2.9</v>
      </c>
      <c r="F24" s="213">
        <f t="shared" si="13"/>
        <v>0.28939227621993813</v>
      </c>
      <c r="G24" s="214">
        <f t="shared" si="14"/>
        <v>0.48897315637160654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2.0084587999999993E-3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4.9000000000000004</v>
      </c>
      <c r="F25" s="170">
        <f t="shared" si="13"/>
        <v>0.48897315637161964</v>
      </c>
      <c r="G25" s="176">
        <f>G24-F25</f>
        <v>-1.3100631690576847E-14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1002.0999999999999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</v>
      </c>
      <c r="F27" s="310">
        <f>IF((E27/G6*100)&gt;1,"Fehler zu groß",(E27/G6*100))</f>
        <v>0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1.4293206799999997E-4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1.0499999999999999E-3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1.5292293999999997E-3</v>
      </c>
      <c r="W36" s="838">
        <v>6.411E-3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AE36"/>
  <sheetViews>
    <sheetView topLeftCell="L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5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1148.5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201.5</v>
      </c>
      <c r="F13" s="170">
        <f t="shared" si="13"/>
        <v>17.553793884484708</v>
      </c>
      <c r="G13" s="182">
        <f t="shared" si="14"/>
        <v>82.446206115515295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181.3</v>
      </c>
      <c r="F14" s="170">
        <f t="shared" si="13"/>
        <v>15.794058715916021</v>
      </c>
      <c r="G14" s="182">
        <f t="shared" si="14"/>
        <v>66.652147399599272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195.5</v>
      </c>
      <c r="F15" s="194">
        <f t="shared" si="13"/>
        <v>17.031100270058367</v>
      </c>
      <c r="G15" s="195">
        <f t="shared" si="14"/>
        <v>49.621047129540905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49</v>
      </c>
      <c r="F16" s="170">
        <f t="shared" si="13"/>
        <v>4.2686645178151403</v>
      </c>
      <c r="G16" s="176">
        <f t="shared" si="14"/>
        <v>45.352382611725766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69.5</v>
      </c>
      <c r="F17" s="170">
        <f t="shared" si="13"/>
        <v>6.0545343671051484</v>
      </c>
      <c r="G17" s="182">
        <f t="shared" si="14"/>
        <v>39.297848244620617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97.7</v>
      </c>
      <c r="F18" s="170">
        <f t="shared" si="13"/>
        <v>8.5111943549089641</v>
      </c>
      <c r="G18" s="182">
        <f t="shared" si="14"/>
        <v>30.786653889711651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102.7</v>
      </c>
      <c r="F19" s="170">
        <f t="shared" si="13"/>
        <v>8.9467723669309169</v>
      </c>
      <c r="G19" s="182">
        <f t="shared" si="14"/>
        <v>21.839881522780736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104.7</v>
      </c>
      <c r="F20" s="170">
        <f t="shared" si="13"/>
        <v>9.1210035717396991</v>
      </c>
      <c r="G20" s="182">
        <f t="shared" si="14"/>
        <v>12.718877951041037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13.5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12.8</v>
      </c>
      <c r="F21" s="170">
        <f t="shared" si="13"/>
        <v>1.1150797107762001</v>
      </c>
      <c r="G21" s="182">
        <f t="shared" si="14"/>
        <v>11.603798240264837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0.33500000000000002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110.7</v>
      </c>
      <c r="F22" s="170">
        <f t="shared" si="13"/>
        <v>9.6436971861660421</v>
      </c>
      <c r="G22" s="182">
        <f t="shared" si="14"/>
        <v>1.9601010540987946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40.298507462686565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10.5</v>
      </c>
      <c r="F23" s="170">
        <f t="shared" si="13"/>
        <v>0.91471382524610145</v>
      </c>
      <c r="G23" s="211">
        <f t="shared" si="14"/>
        <v>1.0453872288526931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4.0999999999999996</v>
      </c>
      <c r="F24" s="213">
        <f t="shared" si="13"/>
        <v>0.35717396985800148</v>
      </c>
      <c r="G24" s="214">
        <f t="shared" si="14"/>
        <v>0.68821325899469166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1.3408642999999999E-3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7.9</v>
      </c>
      <c r="F25" s="170">
        <f t="shared" si="13"/>
        <v>0.68821325899468599</v>
      </c>
      <c r="G25" s="176">
        <f>G24-F25</f>
        <v>5.6621374255882984E-15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1148.5</v>
      </c>
      <c r="D26" s="735" t="s">
        <v>19</v>
      </c>
      <c r="E26" s="221">
        <f>SUM(E12:E25)</f>
        <v>1147.9000000000001</v>
      </c>
      <c r="F26" s="305">
        <f>SUM(F12:F25)</f>
        <v>99.999999999999972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0.59999999999990905</v>
      </c>
      <c r="F27" s="310">
        <f>IF((E27/G6*100)&gt;1,"Fehler zu groß",(E27/G6*100))</f>
        <v>5.2242054854149671E-2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9.5422673000000017E-5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7.0500000000000001E-4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1.0229321499999999E-3</v>
      </c>
      <c r="W36" s="838">
        <v>5.764E-3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/>
  <dimension ref="A1:AE36"/>
  <sheetViews>
    <sheetView topLeftCell="J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271.89999999999998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105.2</v>
      </c>
      <c r="F13" s="170">
        <f t="shared" si="13"/>
        <v>38.704930095658582</v>
      </c>
      <c r="G13" s="182">
        <f t="shared" si="14"/>
        <v>61.295069904341418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59.5</v>
      </c>
      <c r="F14" s="170">
        <f t="shared" si="13"/>
        <v>21.891096394407654</v>
      </c>
      <c r="G14" s="182">
        <f t="shared" si="14"/>
        <v>39.403973509933763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32.299999999999997</v>
      </c>
      <c r="F15" s="194">
        <f t="shared" si="13"/>
        <v>11.883738042678441</v>
      </c>
      <c r="G15" s="195">
        <f t="shared" si="14"/>
        <v>27.520235467255322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</v>
      </c>
      <c r="F16" s="170">
        <f t="shared" si="13"/>
        <v>1.8395879323031643</v>
      </c>
      <c r="G16" s="176">
        <f t="shared" si="14"/>
        <v>25.680647534952158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5.6</v>
      </c>
      <c r="F17" s="170">
        <f t="shared" si="13"/>
        <v>2.0603384841795442</v>
      </c>
      <c r="G17" s="182">
        <f t="shared" si="14"/>
        <v>23.620309050772612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4.9000000000000004</v>
      </c>
      <c r="F18" s="170">
        <f t="shared" si="13"/>
        <v>1.8027961736571012</v>
      </c>
      <c r="G18" s="182">
        <f t="shared" si="14"/>
        <v>21.817512877115512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16.7</v>
      </c>
      <c r="F19" s="170">
        <f t="shared" si="13"/>
        <v>6.1442236938925694</v>
      </c>
      <c r="G19" s="182">
        <f t="shared" si="14"/>
        <v>15.673289183222941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15.7</v>
      </c>
      <c r="F20" s="170">
        <f t="shared" si="13"/>
        <v>5.7763061074319362</v>
      </c>
      <c r="G20" s="182">
        <f t="shared" si="14"/>
        <v>9.896983075791006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38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3.7</v>
      </c>
      <c r="F21" s="170">
        <f t="shared" si="13"/>
        <v>1.3612950699043418</v>
      </c>
      <c r="G21" s="182">
        <f t="shared" si="14"/>
        <v>8.535688005886664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0.60499999999999998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20.6</v>
      </c>
      <c r="F22" s="170">
        <f t="shared" si="13"/>
        <v>7.5791022810890381</v>
      </c>
      <c r="G22" s="182">
        <f t="shared" si="14"/>
        <v>0.95658572479762594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62.809917355371901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1.4</v>
      </c>
      <c r="F23" s="170">
        <f t="shared" si="13"/>
        <v>0.51508462104488606</v>
      </c>
      <c r="G23" s="211">
        <f t="shared" si="14"/>
        <v>0.44150110375273988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0.5</v>
      </c>
      <c r="F24" s="213">
        <f t="shared" si="13"/>
        <v>0.18395879323031644</v>
      </c>
      <c r="G24" s="214">
        <f t="shared" si="14"/>
        <v>0.25754231052242343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4.3732666999999987E-3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0.7</v>
      </c>
      <c r="F25" s="170">
        <f t="shared" si="13"/>
        <v>0.25754231052244303</v>
      </c>
      <c r="G25" s="176">
        <f>G24-F25</f>
        <v>-1.9595436384634013E-14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271.89999999999998</v>
      </c>
      <c r="D26" s="735" t="s">
        <v>19</v>
      </c>
      <c r="E26" s="221">
        <f>SUM(E12:E25)</f>
        <v>271.79999999999995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0.10000000000002274</v>
      </c>
      <c r="F27" s="310">
        <f>IF((E27/G6*100)&gt;1,"Fehler zu groß",(E27/G6*100))</f>
        <v>3.6778227289453014E-2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3.1122373699999999E-4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803" t="str">
        <f>IF(W21&lt;0.6001,"OK","ungültig")</f>
        <v>ungültig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(W24)</f>
        <v>4.3732666999999987E-3</v>
      </c>
      <c r="W36" s="838">
        <v>1.529E-2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AE36"/>
  <sheetViews>
    <sheetView topLeftCell="J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7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626.29999999999995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94.6</v>
      </c>
      <c r="F14" s="170">
        <f t="shared" si="13"/>
        <v>15.106994570424783</v>
      </c>
      <c r="G14" s="182">
        <f t="shared" si="14"/>
        <v>84.893005429575211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134.1</v>
      </c>
      <c r="F15" s="194">
        <f t="shared" si="13"/>
        <v>21.41488342382625</v>
      </c>
      <c r="G15" s="195">
        <f t="shared" si="14"/>
        <v>63.478122005748958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28.1</v>
      </c>
      <c r="F16" s="170">
        <f t="shared" si="13"/>
        <v>4.4873842222931968</v>
      </c>
      <c r="G16" s="176">
        <f t="shared" si="14"/>
        <v>58.990737783455764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43.6</v>
      </c>
      <c r="F17" s="170">
        <f t="shared" si="13"/>
        <v>6.9626317470456724</v>
      </c>
      <c r="G17" s="182">
        <f t="shared" si="14"/>
        <v>52.028106036410094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61.8</v>
      </c>
      <c r="F18" s="170">
        <f t="shared" si="13"/>
        <v>9.8690514212711573</v>
      </c>
      <c r="G18" s="182">
        <f t="shared" si="14"/>
        <v>42.159054615138935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84.7</v>
      </c>
      <c r="F19" s="170">
        <f t="shared" si="13"/>
        <v>13.526030022357075</v>
      </c>
      <c r="G19" s="182">
        <f t="shared" si="14"/>
        <v>28.633024592781858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66.599999999999994</v>
      </c>
      <c r="F20" s="170">
        <f t="shared" si="13"/>
        <v>10.635579687000957</v>
      </c>
      <c r="G20" s="182">
        <f t="shared" si="14"/>
        <v>17.997444905780903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7.05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15.7</v>
      </c>
      <c r="F21" s="170">
        <f t="shared" si="13"/>
        <v>2.5071862024912166</v>
      </c>
      <c r="G21" s="182">
        <f t="shared" si="14"/>
        <v>15.490258703289687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0.28999999999999998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74.099999999999994</v>
      </c>
      <c r="F22" s="170">
        <f t="shared" si="13"/>
        <v>11.833280102203766</v>
      </c>
      <c r="G22" s="182">
        <f t="shared" si="14"/>
        <v>3.6569786010859211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24.310344827586206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11.4</v>
      </c>
      <c r="F23" s="170">
        <f t="shared" si="13"/>
        <v>1.8205046311082722</v>
      </c>
      <c r="G23" s="211">
        <f t="shared" si="14"/>
        <v>1.8364739699776489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5.0999999999999996</v>
      </c>
      <c r="F24" s="213">
        <f t="shared" si="13"/>
        <v>0.81443628233791099</v>
      </c>
      <c r="G24" s="214">
        <f t="shared" si="14"/>
        <v>1.0220376876397379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1.0048267999999997E-3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6.4</v>
      </c>
      <c r="F25" s="170">
        <f t="shared" si="13"/>
        <v>1.0220376876397317</v>
      </c>
      <c r="G25" s="176">
        <f>G24-F25</f>
        <v>6.2172489379008766E-15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626.20000000000005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9.9999999999909051E-2</v>
      </c>
      <c r="F27" s="310">
        <f>IF((E27/G6*100)&gt;1,"Fehler zu groß",(E27/G6*100))</f>
        <v>1.5966789078701749E-2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7.1508547999999999E-5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5.0000000000000001E-4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7.5241339999999987E-4</v>
      </c>
      <c r="W36" s="838">
        <v>3.333E-3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"/>
  <dimension ref="A1:AE36"/>
  <sheetViews>
    <sheetView topLeftCell="H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8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395.1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24.8</v>
      </c>
      <c r="F14" s="170">
        <f t="shared" si="13"/>
        <v>6.2768919260946587</v>
      </c>
      <c r="G14" s="182">
        <f t="shared" si="14"/>
        <v>93.723108073905337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19.899999999999999</v>
      </c>
      <c r="F15" s="194">
        <f t="shared" si="13"/>
        <v>5.0366995697291816</v>
      </c>
      <c r="G15" s="195">
        <f t="shared" si="14"/>
        <v>88.686408504176157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8.9</v>
      </c>
      <c r="F16" s="170">
        <f t="shared" si="13"/>
        <v>2.2525942799291316</v>
      </c>
      <c r="G16" s="176">
        <f t="shared" si="14"/>
        <v>86.43381422424703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16.8</v>
      </c>
      <c r="F17" s="170">
        <f t="shared" si="13"/>
        <v>4.2520880789673496</v>
      </c>
      <c r="G17" s="182">
        <f t="shared" si="14"/>
        <v>82.181726145279683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33.799999999999997</v>
      </c>
      <c r="F18" s="170">
        <f t="shared" si="13"/>
        <v>8.5547962541128815</v>
      </c>
      <c r="G18" s="182">
        <f t="shared" si="14"/>
        <v>73.626929891166796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70.3</v>
      </c>
      <c r="F19" s="170">
        <f t="shared" si="13"/>
        <v>17.792963806631231</v>
      </c>
      <c r="G19" s="182">
        <f t="shared" si="14"/>
        <v>55.833966084535561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80.599999999999994</v>
      </c>
      <c r="F20" s="170">
        <f t="shared" si="13"/>
        <v>20.399898759807641</v>
      </c>
      <c r="G20" s="182">
        <f t="shared" si="14"/>
        <v>35.43406732472792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1.2416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29</v>
      </c>
      <c r="F21" s="170">
        <f t="shared" si="13"/>
        <v>7.3399139458364973</v>
      </c>
      <c r="G21" s="182">
        <f t="shared" si="14"/>
        <v>28.094153378891424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0.2475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93.4</v>
      </c>
      <c r="F22" s="170">
        <f t="shared" si="13"/>
        <v>23.639584915211341</v>
      </c>
      <c r="G22" s="182">
        <f t="shared" si="14"/>
        <v>4.4545684636800829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5.0165656565656569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10.5</v>
      </c>
      <c r="F23" s="170">
        <f t="shared" si="13"/>
        <v>2.6575550493545936</v>
      </c>
      <c r="G23" s="211">
        <f t="shared" si="14"/>
        <v>1.7970134143254892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2.8</v>
      </c>
      <c r="F24" s="213">
        <f t="shared" si="13"/>
        <v>0.70868134649455827</v>
      </c>
      <c r="G24" s="214">
        <f t="shared" si="14"/>
        <v>1.0883320678309309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7.318896749999998E-4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4.3</v>
      </c>
      <c r="F25" s="170">
        <f t="shared" si="13"/>
        <v>1.0883320678309287</v>
      </c>
      <c r="G25" s="176">
        <f>G24-F25</f>
        <v>2.2204460492503131E-15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395.1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</v>
      </c>
      <c r="F27" s="310">
        <f>IF((E27/G6*100)&gt;1,"Fehler zu groß",(E27/G6*100))</f>
        <v>0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5.2084964250000001E-5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4.125E-4</v>
      </c>
      <c r="X29" s="794" t="s">
        <v>113</v>
      </c>
      <c r="Y29" s="795">
        <v>4.125E-4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5.7219483749999995E-4</v>
      </c>
      <c r="W36" s="838">
        <v>5.2930000000000002E-4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"/>
  <dimension ref="A1:AE36"/>
  <sheetViews>
    <sheetView topLeftCell="K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9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789.6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82.9</v>
      </c>
      <c r="F13" s="170">
        <f t="shared" si="13"/>
        <v>10.508302699961973</v>
      </c>
      <c r="G13" s="182">
        <f t="shared" si="14"/>
        <v>89.491697300038027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228.1</v>
      </c>
      <c r="F14" s="170">
        <f t="shared" si="13"/>
        <v>28.913677272151094</v>
      </c>
      <c r="G14" s="182">
        <f t="shared" si="14"/>
        <v>60.578020027886936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132.1</v>
      </c>
      <c r="F15" s="194">
        <f t="shared" si="13"/>
        <v>16.744834579794652</v>
      </c>
      <c r="G15" s="195">
        <f t="shared" si="14"/>
        <v>43.83318544809228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33.9</v>
      </c>
      <c r="F16" s="170">
        <f t="shared" si="13"/>
        <v>4.2971225757383698</v>
      </c>
      <c r="G16" s="176">
        <f t="shared" si="14"/>
        <v>39.536062872353909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45.3</v>
      </c>
      <c r="F17" s="170">
        <f t="shared" si="13"/>
        <v>5.7421726454556978</v>
      </c>
      <c r="G17" s="182">
        <f t="shared" si="14"/>
        <v>33.793890226898213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55.3</v>
      </c>
      <c r="F18" s="170">
        <f t="shared" si="13"/>
        <v>7.0097604259094934</v>
      </c>
      <c r="G18" s="182">
        <f t="shared" si="14"/>
        <v>26.784129800988719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69.8</v>
      </c>
      <c r="F19" s="170">
        <f t="shared" si="13"/>
        <v>8.8477627075674992</v>
      </c>
      <c r="G19" s="182">
        <f t="shared" si="14"/>
        <v>17.936367093421218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42.7</v>
      </c>
      <c r="F20" s="170">
        <f t="shared" si="13"/>
        <v>5.412599822537711</v>
      </c>
      <c r="G20" s="182">
        <f t="shared" si="14"/>
        <v>12.523767270883507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19.5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22.7</v>
      </c>
      <c r="F21" s="170">
        <f t="shared" si="13"/>
        <v>2.877424261630118</v>
      </c>
      <c r="G21" s="182">
        <f t="shared" si="14"/>
        <v>9.6463430092533891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0.40500000000000003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60.6</v>
      </c>
      <c r="F22" s="170">
        <f t="shared" si="13"/>
        <v>7.6815819495500062</v>
      </c>
      <c r="G22" s="182">
        <f t="shared" si="14"/>
        <v>1.9647610597033829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48.148148148148145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7.6</v>
      </c>
      <c r="F23" s="170">
        <f t="shared" si="13"/>
        <v>0.9633667131448852</v>
      </c>
      <c r="G23" s="211">
        <f t="shared" si="14"/>
        <v>1.0013943465584978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2.9</v>
      </c>
      <c r="F24" s="213">
        <f t="shared" si="13"/>
        <v>0.36760045633160099</v>
      </c>
      <c r="G24" s="214">
        <f t="shared" si="14"/>
        <v>0.63379389022689681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1.9597706999999998E-3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5</v>
      </c>
      <c r="F25" s="170">
        <f t="shared" si="13"/>
        <v>0.63379389022689825</v>
      </c>
      <c r="G25" s="176">
        <f>G24-F25</f>
        <v>-1.4432899320127035E-15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788.9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0.70000000000004547</v>
      </c>
      <c r="F27" s="310">
        <f>IF((E27/G6*100)&gt;1,"Fehler zu groß",(E27/G6*100))</f>
        <v>8.8652482269509295E-2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1.3946717700000002E-4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1.0499999999999999E-3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1.50488535E-3</v>
      </c>
      <c r="W36" s="838">
        <v>8.2190000000000006E-3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"/>
  <dimension ref="A1:AE36"/>
  <sheetViews>
    <sheetView topLeftCell="K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10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636.9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115.4</v>
      </c>
      <c r="F13" s="170">
        <f t="shared" si="13"/>
        <v>18.130400628436767</v>
      </c>
      <c r="G13" s="182">
        <f t="shared" si="14"/>
        <v>81.869599371563226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79.3</v>
      </c>
      <c r="F14" s="170">
        <f t="shared" si="13"/>
        <v>12.458758837391986</v>
      </c>
      <c r="G14" s="182">
        <f t="shared" si="14"/>
        <v>69.410840534171243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69.3</v>
      </c>
      <c r="F15" s="194">
        <f t="shared" si="13"/>
        <v>10.887666928515317</v>
      </c>
      <c r="G15" s="195">
        <f t="shared" si="14"/>
        <v>58.523173605655927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20.100000000000001</v>
      </c>
      <c r="F16" s="170">
        <f t="shared" si="13"/>
        <v>3.1578947368421053</v>
      </c>
      <c r="G16" s="176">
        <f t="shared" si="14"/>
        <v>55.365278868813824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38.200000000000003</v>
      </c>
      <c r="F17" s="170">
        <f t="shared" si="13"/>
        <v>6.0015710919088772</v>
      </c>
      <c r="G17" s="182">
        <f t="shared" si="14"/>
        <v>49.363707776904945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72.7</v>
      </c>
      <c r="F18" s="170">
        <f t="shared" si="13"/>
        <v>11.421838177533386</v>
      </c>
      <c r="G18" s="182">
        <f t="shared" si="14"/>
        <v>37.941869599371557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98.3</v>
      </c>
      <c r="F19" s="170">
        <f t="shared" si="13"/>
        <v>15.443833464257658</v>
      </c>
      <c r="G19" s="182">
        <f t="shared" si="14"/>
        <v>22.4980361351139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64.7</v>
      </c>
      <c r="F20" s="170">
        <f t="shared" si="13"/>
        <v>10.164964650432051</v>
      </c>
      <c r="G20" s="182">
        <f t="shared" si="14"/>
        <v>12.333071484681849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37.6</v>
      </c>
      <c r="F21" s="170">
        <f t="shared" si="13"/>
        <v>5.9073055773762766</v>
      </c>
      <c r="G21" s="182">
        <f t="shared" si="14"/>
        <v>6.4257659073055722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0.505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29</v>
      </c>
      <c r="F22" s="170">
        <f t="shared" si="13"/>
        <v>4.5561665357423413</v>
      </c>
      <c r="G22" s="182">
        <f t="shared" si="14"/>
        <v>1.8695993715632309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20.792079207920793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5.0999999999999996</v>
      </c>
      <c r="F23" s="170">
        <f t="shared" si="13"/>
        <v>0.8012568735271014</v>
      </c>
      <c r="G23" s="211">
        <f t="shared" si="14"/>
        <v>1.0683424980361296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2.4</v>
      </c>
      <c r="F24" s="213">
        <f t="shared" si="13"/>
        <v>0.37706205813040061</v>
      </c>
      <c r="G24" s="214">
        <f t="shared" si="14"/>
        <v>0.69128043990572896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3.0470386999999991E-3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4.4000000000000004</v>
      </c>
      <c r="F25" s="170">
        <f t="shared" si="13"/>
        <v>0.69128043990573451</v>
      </c>
      <c r="G25" s="176">
        <f>G24-F25</f>
        <v>-5.5511151231257827E-15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636.5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0.39999999999997726</v>
      </c>
      <c r="F27" s="310">
        <f>IF((E27/G6*100)&gt;1,"Fehler zu groß",(E27/G6*100))</f>
        <v>6.280420788192452E-2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2.16842657E-4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1.5499999999999999E-3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2.2985193499999996E-3</v>
      </c>
      <c r="W36" s="838">
        <v>6.8089999999999999E-3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2"/>
  <dimension ref="A1:AE36"/>
  <sheetViews>
    <sheetView topLeftCell="I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11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652.6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52.7</v>
      </c>
      <c r="F14" s="170">
        <f t="shared" si="13"/>
        <v>8.0803434529285489</v>
      </c>
      <c r="G14" s="182">
        <f t="shared" si="14"/>
        <v>91.919656547071455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20.100000000000001</v>
      </c>
      <c r="F15" s="194">
        <f t="shared" si="13"/>
        <v>3.0818767249310026</v>
      </c>
      <c r="G15" s="195">
        <f t="shared" si="14"/>
        <v>88.837779822140448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16.3</v>
      </c>
      <c r="F16" s="170">
        <f t="shared" si="13"/>
        <v>2.4992333639987732</v>
      </c>
      <c r="G16" s="176">
        <f t="shared" si="14"/>
        <v>86.338546458141678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21.8</v>
      </c>
      <c r="F17" s="170">
        <f t="shared" si="13"/>
        <v>3.3425329653480524</v>
      </c>
      <c r="G17" s="182">
        <f t="shared" si="14"/>
        <v>82.996013492793622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36.1</v>
      </c>
      <c r="F18" s="170">
        <f t="shared" si="13"/>
        <v>5.5351119288561792</v>
      </c>
      <c r="G18" s="182">
        <f t="shared" si="14"/>
        <v>77.460901563937441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107</v>
      </c>
      <c r="F19" s="170">
        <f t="shared" si="13"/>
        <v>16.406010426249615</v>
      </c>
      <c r="G19" s="182">
        <f t="shared" si="14"/>
        <v>61.054891137687825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288.2</v>
      </c>
      <c r="F20" s="170">
        <f t="shared" si="13"/>
        <v>44.188899110702238</v>
      </c>
      <c r="G20" s="182">
        <f t="shared" si="14"/>
        <v>16.865992026985587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0.99080000000000001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83.1</v>
      </c>
      <c r="F21" s="170">
        <f t="shared" si="13"/>
        <v>12.741490340386383</v>
      </c>
      <c r="G21" s="182">
        <f t="shared" si="14"/>
        <v>4.1245016865992046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0.505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19.399999999999999</v>
      </c>
      <c r="F22" s="170">
        <f t="shared" si="13"/>
        <v>2.9745476847592758</v>
      </c>
      <c r="G22" s="182">
        <f t="shared" si="14"/>
        <v>1.1499540018399288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1.9619801980198019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1.9</v>
      </c>
      <c r="F23" s="170">
        <f t="shared" si="13"/>
        <v>0.29132168046611462</v>
      </c>
      <c r="G23" s="211">
        <f t="shared" si="14"/>
        <v>0.85863232137381418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2.9</v>
      </c>
      <c r="F24" s="213">
        <f t="shared" si="13"/>
        <v>0.44464888071143815</v>
      </c>
      <c r="G24" s="214">
        <f t="shared" si="14"/>
        <v>0.41398344066237602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3.0470386999999991E-3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2.7</v>
      </c>
      <c r="F25" s="170">
        <f t="shared" si="13"/>
        <v>0.41398344066237347</v>
      </c>
      <c r="G25" s="176">
        <f>G24-F25</f>
        <v>2.55351295663786E-15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652.20000000000005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1.3899999999999999E-2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0.39999999999997726</v>
      </c>
      <c r="F27" s="310">
        <f>IF((E27/G6*100)&gt;1,"Fehler zu groß",(E27/G6*100))</f>
        <v>6.1293288384918369E-2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2.5983732175E-3</v>
      </c>
      <c r="X27" s="836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2.2499999999999998E-3</v>
      </c>
      <c r="X29" s="794" t="s">
        <v>113</v>
      </c>
      <c r="Y29" s="795">
        <v>2.3E-3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(W24+W27+Y29)/3</f>
        <v>2.6484706391666662E-3</v>
      </c>
      <c r="W36" s="838">
        <v>1.9910000000000001E-3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3"/>
  <dimension ref="A1:AE36"/>
  <sheetViews>
    <sheetView topLeftCell="H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12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1100.4000000000001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154.69999999999999</v>
      </c>
      <c r="F13" s="170">
        <f t="shared" si="13"/>
        <v>14.059801872216665</v>
      </c>
      <c r="G13" s="182">
        <f t="shared" si="14"/>
        <v>85.940198127783333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211.6</v>
      </c>
      <c r="F14" s="170">
        <f t="shared" si="13"/>
        <v>19.231118785785693</v>
      </c>
      <c r="G14" s="182">
        <f t="shared" si="14"/>
        <v>66.709079341997636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187.2</v>
      </c>
      <c r="F15" s="194">
        <f t="shared" si="13"/>
        <v>17.013541761337812</v>
      </c>
      <c r="G15" s="195">
        <f t="shared" si="14"/>
        <v>49.695537580659824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48.7</v>
      </c>
      <c r="F16" s="170">
        <f t="shared" si="13"/>
        <v>4.4260656184676899</v>
      </c>
      <c r="G16" s="176">
        <f t="shared" si="14"/>
        <v>45.269471962192135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67.400000000000006</v>
      </c>
      <c r="F17" s="170">
        <f t="shared" si="13"/>
        <v>6.1256021085158592</v>
      </c>
      <c r="G17" s="182">
        <f t="shared" si="14"/>
        <v>39.143869853676279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84</v>
      </c>
      <c r="F18" s="170">
        <f t="shared" si="13"/>
        <v>7.63428155957466</v>
      </c>
      <c r="G18" s="182">
        <f t="shared" si="14"/>
        <v>31.509588294101619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96.6</v>
      </c>
      <c r="F19" s="170">
        <f t="shared" si="13"/>
        <v>8.7794237935108583</v>
      </c>
      <c r="G19" s="182">
        <f t="shared" si="14"/>
        <v>22.73016450059076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130.9</v>
      </c>
      <c r="F20" s="170">
        <f t="shared" si="13"/>
        <v>11.896755430337178</v>
      </c>
      <c r="G20" s="182">
        <f t="shared" si="14"/>
        <v>10.833409070253582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14.5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72.8</v>
      </c>
      <c r="F21" s="170">
        <f t="shared" si="13"/>
        <v>6.616377351631372</v>
      </c>
      <c r="G21" s="182">
        <f t="shared" si="14"/>
        <v>4.2170317186222102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0.56000000000000005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29.8</v>
      </c>
      <c r="F22" s="170">
        <f t="shared" si="13"/>
        <v>2.7083522675633915</v>
      </c>
      <c r="G22" s="182">
        <f t="shared" si="14"/>
        <v>1.5086794510588186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25.892857142857139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7.4</v>
      </c>
      <c r="F23" s="170">
        <f t="shared" si="13"/>
        <v>0.67254385167681541</v>
      </c>
      <c r="G23" s="211">
        <f t="shared" si="14"/>
        <v>0.83613559938200321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2.9</v>
      </c>
      <c r="F24" s="213">
        <f t="shared" si="13"/>
        <v>0.26356448241388708</v>
      </c>
      <c r="G24" s="214">
        <f t="shared" si="14"/>
        <v>0.57257111696811613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3.7468927999999998E-3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6.3</v>
      </c>
      <c r="F25" s="170">
        <f t="shared" si="13"/>
        <v>0.57257111696809948</v>
      </c>
      <c r="G25" s="176">
        <f>G24-F25</f>
        <v>1.6653345369377348E-14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1100.3000000000002</v>
      </c>
      <c r="F26" s="305">
        <f>SUM(F12:F25)</f>
        <v>99.999999999999972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9.9999999999909051E-2</v>
      </c>
      <c r="F27" s="310">
        <f>IF((E27/G6*100)&gt;1,"Fehler zu groß",(E27/G6*100))</f>
        <v>9.0876045074435689E-3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2.6664780800000003E-4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1.8E-3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2.7734463999999999E-3</v>
      </c>
      <c r="W36" s="838">
        <v>9.3430000000000006E-3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4"/>
  <dimension ref="A1:AE36"/>
  <sheetViews>
    <sheetView topLeftCell="L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13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304.5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98.1</v>
      </c>
      <c r="F13" s="170">
        <f t="shared" si="13"/>
        <v>32.216748768472911</v>
      </c>
      <c r="G13" s="182">
        <f t="shared" si="14"/>
        <v>67.783251231527089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59.8</v>
      </c>
      <c r="F14" s="170">
        <f t="shared" si="13"/>
        <v>19.638752052545158</v>
      </c>
      <c r="G14" s="182">
        <f t="shared" si="14"/>
        <v>48.144499178981931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18.600000000000001</v>
      </c>
      <c r="F15" s="194">
        <f t="shared" si="13"/>
        <v>6.1083743842364546</v>
      </c>
      <c r="G15" s="195">
        <f t="shared" si="14"/>
        <v>42.036124794745476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6.3</v>
      </c>
      <c r="F16" s="170">
        <f t="shared" si="13"/>
        <v>2.0689655172413794</v>
      </c>
      <c r="G16" s="176">
        <f t="shared" si="14"/>
        <v>39.967159277504095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7.2</v>
      </c>
      <c r="F17" s="170">
        <f t="shared" si="13"/>
        <v>2.3645320197044342</v>
      </c>
      <c r="G17" s="182">
        <f t="shared" si="14"/>
        <v>37.602627257799661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10.4</v>
      </c>
      <c r="F18" s="170">
        <f t="shared" si="13"/>
        <v>3.4154351395730713</v>
      </c>
      <c r="G18" s="182">
        <f t="shared" si="14"/>
        <v>34.187192118226591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33</v>
      </c>
      <c r="F19" s="170">
        <f t="shared" si="13"/>
        <v>10.837438423645322</v>
      </c>
      <c r="G19" s="182">
        <f t="shared" si="14"/>
        <v>23.349753694581267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20.7</v>
      </c>
      <c r="F20" s="170">
        <f t="shared" si="13"/>
        <v>6.7980295566502482</v>
      </c>
      <c r="G20" s="182">
        <f t="shared" si="14"/>
        <v>16.551724137931018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30.5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14.2</v>
      </c>
      <c r="F21" s="170">
        <f t="shared" si="13"/>
        <v>4.6633825944170777</v>
      </c>
      <c r="G21" s="182">
        <f t="shared" si="14"/>
        <v>11.88834154351394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0.33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30.2</v>
      </c>
      <c r="F22" s="170">
        <f t="shared" si="13"/>
        <v>9.9178981937602639</v>
      </c>
      <c r="G22" s="182">
        <f t="shared" si="14"/>
        <v>1.9704433497536762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92.424242424242422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3.6</v>
      </c>
      <c r="F23" s="170">
        <f t="shared" si="13"/>
        <v>1.1822660098522171</v>
      </c>
      <c r="G23" s="211">
        <f t="shared" si="14"/>
        <v>0.78817733990145911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0.9</v>
      </c>
      <c r="F24" s="213">
        <f t="shared" si="13"/>
        <v>0.29556650246305427</v>
      </c>
      <c r="G24" s="214">
        <f t="shared" si="14"/>
        <v>0.49261083743840484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1.3011371999999998E-3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1.5</v>
      </c>
      <c r="F25" s="170">
        <f t="shared" si="13"/>
        <v>0.49261083743842371</v>
      </c>
      <c r="G25" s="176">
        <f>G24-F25</f>
        <v>-1.8873791418627661E-14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304.49999999999994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</v>
      </c>
      <c r="F27" s="310">
        <f>IF((E27/G6*100)&gt;1,"Fehler zu groß",(E27/G6*100))</f>
        <v>0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9.2595492000000003E-5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7.1000000000000002E-4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1.0055685999999999E-3</v>
      </c>
      <c r="W36" s="838">
        <v>6.3439999999999998E-3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5"/>
  <dimension ref="A1:AE36"/>
  <sheetViews>
    <sheetView topLeftCell="I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337.7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0</v>
      </c>
      <c r="F15" s="194">
        <f t="shared" si="13"/>
        <v>0</v>
      </c>
      <c r="G15" s="195">
        <f t="shared" si="14"/>
        <v>100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11.8</v>
      </c>
      <c r="F16" s="170">
        <f t="shared" si="13"/>
        <v>3.5255452644158956</v>
      </c>
      <c r="G16" s="176">
        <f t="shared" si="14"/>
        <v>96.474454735584104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3.5</v>
      </c>
      <c r="F17" s="170">
        <f t="shared" si="13"/>
        <v>1.0457125784284433</v>
      </c>
      <c r="G17" s="182">
        <f t="shared" si="14"/>
        <v>95.428742157155654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8.8000000000000007</v>
      </c>
      <c r="F18" s="170">
        <f t="shared" si="13"/>
        <v>2.6292201971915152</v>
      </c>
      <c r="G18" s="182">
        <f t="shared" si="14"/>
        <v>92.799521959964139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35</v>
      </c>
      <c r="F19" s="170">
        <f t="shared" si="13"/>
        <v>10.457125784284434</v>
      </c>
      <c r="G19" s="182">
        <f t="shared" si="14"/>
        <v>82.34239617567971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112.9</v>
      </c>
      <c r="F20" s="170">
        <f t="shared" si="13"/>
        <v>33.731700029877501</v>
      </c>
      <c r="G20" s="182">
        <f t="shared" si="14"/>
        <v>48.610696145802208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0.75409999999999999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76.5</v>
      </c>
      <c r="F21" s="170">
        <f t="shared" si="13"/>
        <v>22.856289214221693</v>
      </c>
      <c r="G21" s="182">
        <f t="shared" si="14"/>
        <v>25.754406931580515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0.26019999999999999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75.8</v>
      </c>
      <c r="F22" s="170">
        <f t="shared" si="13"/>
        <v>22.647146698536002</v>
      </c>
      <c r="G22" s="182">
        <f t="shared" si="14"/>
        <v>3.1072602330445136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2.8981552651806304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6.6</v>
      </c>
      <c r="F23" s="170">
        <f t="shared" si="13"/>
        <v>1.9719151478936361</v>
      </c>
      <c r="G23" s="211">
        <f t="shared" si="14"/>
        <v>1.1353450851508775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1.9</v>
      </c>
      <c r="F24" s="213">
        <f t="shared" si="13"/>
        <v>0.56767254257544075</v>
      </c>
      <c r="G24" s="214">
        <f t="shared" si="14"/>
        <v>0.56767254257543676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8.0892786991999962E-4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1.9</v>
      </c>
      <c r="F25" s="170">
        <f t="shared" si="13"/>
        <v>0.56767254257544075</v>
      </c>
      <c r="G25" s="176">
        <f>G24-F25</f>
        <v>-3.9968028886505635E-15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334.7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1.1599999999999999E-2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3</v>
      </c>
      <c r="F27" s="310">
        <f>IF((E27/G6*100)&gt;1,"Fehler zu groß",(E27/G6*100))</f>
        <v>0.88836245188036711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5.7567391131199989E-4</v>
      </c>
      <c r="X27" s="792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5.1000000000000004E-4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334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6.5946393495999983E-4</v>
      </c>
      <c r="W36" s="838">
        <v>6.5550000000000005E-4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6"/>
  <dimension ref="A1:Z52"/>
  <sheetViews>
    <sheetView topLeftCell="R1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6.4257812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7.140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 t="s">
        <v>126</v>
      </c>
      <c r="D3" s="118" t="s">
        <v>25</v>
      </c>
      <c r="E3" s="121">
        <v>39841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77">
        <v>18</v>
      </c>
      <c r="L4" s="135">
        <v>1.0149999999999999</v>
      </c>
      <c r="M4" s="133">
        <f t="shared" ref="M4:M10" si="0">(L4-1)*1000</f>
        <v>14.999999999999902</v>
      </c>
      <c r="N4" s="133">
        <f>M4+$G$33</f>
        <v>16.499999999999847</v>
      </c>
      <c r="O4" s="136">
        <v>-0.35</v>
      </c>
      <c r="P4" s="133">
        <f t="shared" ref="P4:P10" si="1">N4+O4</f>
        <v>16.149999999999846</v>
      </c>
      <c r="Q4" s="320">
        <v>0.08</v>
      </c>
      <c r="R4" s="133">
        <f t="shared" ref="R4:R10" si="2">$F$36*P4</f>
        <v>95.817801211224761</v>
      </c>
      <c r="S4" s="138">
        <f t="shared" ref="S4:S10" si="3">$G$24/100*R4</f>
        <v>13.3534074334398</v>
      </c>
      <c r="T4" s="116">
        <f>(S4/S$13)*S$4</f>
        <v>3.0654943859282624</v>
      </c>
    </row>
    <row r="5" spans="1:23" ht="20.100000000000001" customHeight="1" x14ac:dyDescent="0.2">
      <c r="A5" s="127" t="s">
        <v>27</v>
      </c>
      <c r="B5" s="127"/>
      <c r="C5" s="298" t="s">
        <v>127</v>
      </c>
      <c r="D5" s="299"/>
      <c r="E5" s="139" t="s">
        <v>4</v>
      </c>
      <c r="F5" s="300" t="s">
        <v>128</v>
      </c>
      <c r="G5" s="301"/>
      <c r="I5" s="132"/>
      <c r="J5" s="142">
        <v>1</v>
      </c>
      <c r="K5" s="177">
        <v>18</v>
      </c>
      <c r="L5" s="135">
        <v>1.0129999999999999</v>
      </c>
      <c r="M5" s="133">
        <f t="shared" si="0"/>
        <v>12.999999999999901</v>
      </c>
      <c r="N5" s="133">
        <f t="shared" ref="N5:N12" si="4">M5+$G$33</f>
        <v>14.499999999999847</v>
      </c>
      <c r="O5" s="136">
        <v>-0.35</v>
      </c>
      <c r="P5" s="133">
        <f t="shared" si="1"/>
        <v>14.149999999999848</v>
      </c>
      <c r="Q5" s="320">
        <v>5.5E-2</v>
      </c>
      <c r="R5" s="133">
        <f t="shared" si="2"/>
        <v>83.951819637079183</v>
      </c>
      <c r="S5" s="138">
        <f t="shared" si="3"/>
        <v>11.699734686264579</v>
      </c>
      <c r="T5" s="116">
        <f t="shared" ref="T5:T12" si="5">(S5/S$13)*S$4</f>
        <v>2.685866598197205</v>
      </c>
    </row>
    <row r="6" spans="1:23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271.10000000000002</v>
      </c>
      <c r="I6" s="132"/>
      <c r="J6" s="142">
        <v>2</v>
      </c>
      <c r="K6" s="177">
        <v>18</v>
      </c>
      <c r="L6" s="135">
        <v>1.01</v>
      </c>
      <c r="M6" s="133">
        <f t="shared" si="0"/>
        <v>10.000000000000009</v>
      </c>
      <c r="N6" s="133">
        <f t="shared" si="4"/>
        <v>11.499999999999954</v>
      </c>
      <c r="O6" s="136">
        <v>-0.35</v>
      </c>
      <c r="P6" s="133">
        <f t="shared" si="1"/>
        <v>11.149999999999954</v>
      </c>
      <c r="Q6" s="320">
        <v>3.3000000000000002E-2</v>
      </c>
      <c r="R6" s="133">
        <f t="shared" si="2"/>
        <v>66.152847275861419</v>
      </c>
      <c r="S6" s="138">
        <f t="shared" si="3"/>
        <v>9.2192255655018318</v>
      </c>
      <c r="T6" s="116">
        <f t="shared" si="5"/>
        <v>2.1164249166006384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77">
        <v>19</v>
      </c>
      <c r="L7" s="135">
        <v>1.0069999999999999</v>
      </c>
      <c r="M7" s="133">
        <f t="shared" si="0"/>
        <v>6.9999999999998952</v>
      </c>
      <c r="N7" s="133">
        <f t="shared" si="4"/>
        <v>8.4999999999998401</v>
      </c>
      <c r="O7" s="136">
        <v>-0.2</v>
      </c>
      <c r="P7" s="133">
        <f t="shared" si="1"/>
        <v>8.2999999999998408</v>
      </c>
      <c r="Q7" s="137">
        <v>1.7500000000000002E-2</v>
      </c>
      <c r="R7" s="133">
        <f t="shared" si="2"/>
        <v>49.243823532703274</v>
      </c>
      <c r="S7" s="138">
        <f t="shared" si="3"/>
        <v>6.8627419007770447</v>
      </c>
      <c r="T7" s="116">
        <f t="shared" si="5"/>
        <v>1.5754553190838596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77">
        <v>19.5</v>
      </c>
      <c r="L8" s="135">
        <v>1.0049999999999999</v>
      </c>
      <c r="M8" s="133">
        <f t="shared" si="0"/>
        <v>4.9999999999998934</v>
      </c>
      <c r="N8" s="133">
        <f t="shared" si="4"/>
        <v>6.4999999999998392</v>
      </c>
      <c r="O8" s="136">
        <v>-0.1</v>
      </c>
      <c r="P8" s="133">
        <f t="shared" si="1"/>
        <v>6.3999999999998396</v>
      </c>
      <c r="Q8" s="137">
        <v>9.4999999999999998E-3</v>
      </c>
      <c r="R8" s="133">
        <f t="shared" si="2"/>
        <v>37.97114103726495</v>
      </c>
      <c r="S8" s="138">
        <f t="shared" si="3"/>
        <v>5.2917527909605813</v>
      </c>
      <c r="T8" s="116">
        <f t="shared" si="5"/>
        <v>1.2148089207393542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77">
        <v>19.5</v>
      </c>
      <c r="L9" s="135">
        <v>1.0035000000000001</v>
      </c>
      <c r="M9" s="133">
        <f t="shared" si="0"/>
        <v>3.5000000000000586</v>
      </c>
      <c r="N9" s="133">
        <f t="shared" si="4"/>
        <v>5.0000000000000044</v>
      </c>
      <c r="O9" s="136">
        <v>-0.1</v>
      </c>
      <c r="P9" s="133">
        <f t="shared" si="1"/>
        <v>4.9000000000000048</v>
      </c>
      <c r="Q9" s="320">
        <v>5.0000000000000001E-3</v>
      </c>
      <c r="R9" s="133">
        <f t="shared" si="2"/>
        <v>29.071654856656735</v>
      </c>
      <c r="S9" s="138">
        <f t="shared" si="3"/>
        <v>4.051498230579301</v>
      </c>
      <c r="T9" s="116">
        <f t="shared" si="5"/>
        <v>0.93008807994109255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77">
        <v>20</v>
      </c>
      <c r="L10" s="135">
        <v>1.002</v>
      </c>
      <c r="M10" s="133">
        <f t="shared" si="0"/>
        <v>2.0000000000000018</v>
      </c>
      <c r="N10" s="133">
        <f t="shared" si="4"/>
        <v>3.4999999999999476</v>
      </c>
      <c r="O10" s="165">
        <v>0</v>
      </c>
      <c r="P10" s="133">
        <f t="shared" si="1"/>
        <v>3.4999999999999476</v>
      </c>
      <c r="Q10" s="320">
        <v>2.7000000000000001E-3</v>
      </c>
      <c r="R10" s="133">
        <f t="shared" si="2"/>
        <v>20.765467754754479</v>
      </c>
      <c r="S10" s="138">
        <f t="shared" si="3"/>
        <v>2.8939273075565972</v>
      </c>
      <c r="T10" s="116">
        <f t="shared" si="5"/>
        <v>0.66434862852934107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/>
      <c r="E11" s="169">
        <f>D11</f>
        <v>0</v>
      </c>
      <c r="F11" s="170">
        <f t="shared" ref="F11:F25" si="6">E11/$E$26*100</f>
        <v>0</v>
      </c>
      <c r="G11" s="303">
        <v>100</v>
      </c>
      <c r="I11" s="164" t="s">
        <v>94</v>
      </c>
      <c r="J11" s="142">
        <v>360</v>
      </c>
      <c r="K11" s="177">
        <v>22</v>
      </c>
      <c r="L11" s="135">
        <v>1.0015000000000001</v>
      </c>
      <c r="M11" s="133">
        <f>(L11-1)*1000</f>
        <v>1.5000000000000568</v>
      </c>
      <c r="N11" s="133">
        <f t="shared" si="4"/>
        <v>3.0000000000000027</v>
      </c>
      <c r="O11" s="165">
        <v>0.4</v>
      </c>
      <c r="P11" s="133">
        <f>N11+O11</f>
        <v>3.4000000000000026</v>
      </c>
      <c r="Q11" s="320">
        <v>1.5E-3</v>
      </c>
      <c r="R11" s="133">
        <f>$F$36*P11</f>
        <v>20.172168676047527</v>
      </c>
      <c r="S11" s="138">
        <f>$G$24/100*R11</f>
        <v>2.8112436701978818</v>
      </c>
      <c r="T11" s="116">
        <f t="shared" si="5"/>
        <v>0.64536723914279881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/>
      <c r="E12" s="175">
        <f>D12</f>
        <v>0</v>
      </c>
      <c r="F12" s="170">
        <f t="shared" si="6"/>
        <v>0</v>
      </c>
      <c r="G12" s="176">
        <f t="shared" ref="G12:G24" si="7">G11-F12</f>
        <v>100</v>
      </c>
      <c r="I12" s="183" t="s">
        <v>95</v>
      </c>
      <c r="J12" s="184">
        <v>1440</v>
      </c>
      <c r="K12" s="185">
        <v>22</v>
      </c>
      <c r="L12" s="321">
        <v>1.0004999999999999</v>
      </c>
      <c r="M12" s="187">
        <f>(L12-1)*1000</f>
        <v>0.49999999999994493</v>
      </c>
      <c r="N12" s="187">
        <f t="shared" si="4"/>
        <v>1.9999999999998908</v>
      </c>
      <c r="O12" s="188">
        <v>0.4</v>
      </c>
      <c r="P12" s="187">
        <f>N12+O12</f>
        <v>2.3999999999998907</v>
      </c>
      <c r="Q12" s="322">
        <v>6.9999999999999999E-4</v>
      </c>
      <c r="R12" s="187">
        <f>$F$36*P12</f>
        <v>14.239177888974066</v>
      </c>
      <c r="S12" s="190">
        <f>$G$24/100*R12</f>
        <v>1.9844072966101776</v>
      </c>
      <c r="T12" s="116">
        <f t="shared" si="5"/>
        <v>0.45555334527724861</v>
      </c>
    </row>
    <row r="13" spans="1:23" ht="19.5" customHeight="1" x14ac:dyDescent="0.2">
      <c r="A13" s="877"/>
      <c r="B13" s="178">
        <v>30</v>
      </c>
      <c r="C13" s="179" t="s">
        <v>21</v>
      </c>
      <c r="D13" s="180"/>
      <c r="E13" s="181">
        <f>D13</f>
        <v>0</v>
      </c>
      <c r="F13" s="170">
        <f t="shared" si="6"/>
        <v>0</v>
      </c>
      <c r="G13" s="182">
        <f t="shared" si="7"/>
        <v>100</v>
      </c>
      <c r="S13" s="841">
        <f>SUM(S4:S12)</f>
        <v>58.167938881887792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/>
      <c r="E14" s="181">
        <f>D14</f>
        <v>0</v>
      </c>
      <c r="F14" s="170">
        <f t="shared" si="6"/>
        <v>0</v>
      </c>
      <c r="G14" s="182">
        <f t="shared" si="7"/>
        <v>100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323"/>
      <c r="E15" s="175">
        <f>D15</f>
        <v>0</v>
      </c>
      <c r="F15" s="194">
        <f t="shared" si="6"/>
        <v>0</v>
      </c>
      <c r="G15" s="195">
        <f t="shared" si="7"/>
        <v>100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f>C16+E40</f>
        <v>630.4</v>
      </c>
      <c r="E16" s="202">
        <f>D16-C16</f>
        <v>0</v>
      </c>
      <c r="F16" s="170">
        <f t="shared" si="6"/>
        <v>0</v>
      </c>
      <c r="G16" s="176">
        <f t="shared" si="7"/>
        <v>100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f t="shared" ref="D17:D25" si="8">C17+E41</f>
        <v>519.4</v>
      </c>
      <c r="E17" s="208">
        <f t="shared" ref="E17:E24" si="9">D17-C17</f>
        <v>0.10000000000002274</v>
      </c>
      <c r="F17" s="170">
        <f t="shared" si="6"/>
        <v>3.7064492216465066E-2</v>
      </c>
      <c r="G17" s="182">
        <f t="shared" si="7"/>
        <v>99.962935507783541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f t="shared" si="8"/>
        <v>507.09999999999997</v>
      </c>
      <c r="E18" s="209">
        <f t="shared" si="9"/>
        <v>0.89999999999997726</v>
      </c>
      <c r="F18" s="170">
        <f>E18/$E$26*100</f>
        <v>0.33358042994810128</v>
      </c>
      <c r="G18" s="182">
        <f t="shared" si="7"/>
        <v>99.629355077835442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f t="shared" si="8"/>
        <v>386.1</v>
      </c>
      <c r="E19" s="208">
        <f t="shared" si="9"/>
        <v>2.3000000000000114</v>
      </c>
      <c r="F19" s="170">
        <f t="shared" si="6"/>
        <v>0.85248332097850688</v>
      </c>
      <c r="G19" s="182">
        <f t="shared" si="7"/>
        <v>98.776871756856934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f t="shared" si="8"/>
        <v>380.2</v>
      </c>
      <c r="E20" s="209">
        <f t="shared" si="9"/>
        <v>4</v>
      </c>
      <c r="F20" s="170">
        <f t="shared" si="6"/>
        <v>1.4825796886582654</v>
      </c>
      <c r="G20" s="182">
        <f t="shared" si="7"/>
        <v>97.294292068198672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0.24199999999999999</v>
      </c>
      <c r="X20" s="116" t="s">
        <v>341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f t="shared" si="8"/>
        <v>343.2</v>
      </c>
      <c r="E21" s="208">
        <f t="shared" si="9"/>
        <v>12.399999999999977</v>
      </c>
      <c r="F21" s="170">
        <f t="shared" si="6"/>
        <v>4.5959970348406136</v>
      </c>
      <c r="G21" s="182">
        <f t="shared" si="7"/>
        <v>92.698295033358065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4.3999999999999997E-2</v>
      </c>
      <c r="X21" s="116" t="s">
        <v>341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f t="shared" si="8"/>
        <v>437.8</v>
      </c>
      <c r="E22" s="209">
        <f t="shared" si="9"/>
        <v>111.69999999999999</v>
      </c>
      <c r="F22" s="170">
        <f t="shared" si="6"/>
        <v>41.401037805782053</v>
      </c>
      <c r="G22" s="182">
        <f t="shared" si="7"/>
        <v>51.297257227576011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5.5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f t="shared" si="8"/>
        <v>375.9</v>
      </c>
      <c r="E23" s="208">
        <f t="shared" si="9"/>
        <v>71.5</v>
      </c>
      <c r="F23" s="170">
        <f t="shared" si="6"/>
        <v>26.501111934766492</v>
      </c>
      <c r="G23" s="211">
        <f t="shared" si="7"/>
        <v>24.79614529280952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f t="shared" si="8"/>
        <v>343</v>
      </c>
      <c r="E24" s="209">
        <f t="shared" si="9"/>
        <v>29.300000000000011</v>
      </c>
      <c r="F24" s="213">
        <f t="shared" si="6"/>
        <v>10.859896219421799</v>
      </c>
      <c r="G24" s="214">
        <f t="shared" si="7"/>
        <v>13.936249073387721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2.3131327999999993E-5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f t="shared" si="8"/>
        <v>405.1</v>
      </c>
      <c r="E25" s="218">
        <f>D25-C25</f>
        <v>37.600000000000023</v>
      </c>
      <c r="F25" s="170">
        <f t="shared" si="6"/>
        <v>13.936249073387701</v>
      </c>
      <c r="G25" s="176">
        <f>G24-F25</f>
        <v>1.9539925233402755E-14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269.8</v>
      </c>
      <c r="D26" s="324" t="s">
        <v>19</v>
      </c>
      <c r="E26" s="221">
        <f>SUM(E12:E25)</f>
        <v>269.8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1.3000000000000114</v>
      </c>
      <c r="F27" s="310">
        <f>IF((E27/G6*100)&gt;1,"Fehler zu groß",(E27/G6*100))</f>
        <v>0.47952784950203292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1.64614208E-6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/>
      <c r="X29" s="286" t="s">
        <v>113</v>
      </c>
      <c r="Y29" s="287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333" t="str">
        <f>IF(W21&gt;0.059,"OK","ungültig")</f>
        <v>ungültig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>
        <v>2</v>
      </c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129</v>
      </c>
      <c r="B33" s="239"/>
      <c r="C33" s="239"/>
      <c r="D33" s="239"/>
      <c r="E33" s="240"/>
      <c r="F33" s="325">
        <v>0.99850000000000005</v>
      </c>
      <c r="G33" s="326">
        <f>-(F33-1)*1000</f>
        <v>1.4999999999999458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>
        <v>2.65</v>
      </c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>
        <v>27.07</v>
      </c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335</v>
      </c>
      <c r="X35" s="116" t="s">
        <v>333</v>
      </c>
      <c r="Y35" s="116" t="s">
        <v>336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>
        <f>100/F35*F34/(F34-1)</f>
        <v>5.9329907870727974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(W24)</f>
        <v>2.3131327999999993E-5</v>
      </c>
      <c r="W36" s="839">
        <v>1.2639999999999999E-5</v>
      </c>
      <c r="X36" s="839">
        <v>1.4620000000000001E-5</v>
      </c>
      <c r="Y36" s="839">
        <v>1.0669999999999999E-5</v>
      </c>
    </row>
    <row r="39" spans="1:26" x14ac:dyDescent="0.2">
      <c r="D39" s="116" t="s">
        <v>130</v>
      </c>
    </row>
    <row r="40" spans="1:26" x14ac:dyDescent="0.2">
      <c r="D40" s="327">
        <v>6.3</v>
      </c>
      <c r="E40" s="914">
        <v>0</v>
      </c>
      <c r="F40" s="915"/>
    </row>
    <row r="41" spans="1:26" x14ac:dyDescent="0.2">
      <c r="D41" s="328">
        <v>4</v>
      </c>
      <c r="E41" s="916">
        <v>0.1</v>
      </c>
      <c r="F41" s="917"/>
    </row>
    <row r="42" spans="1:26" x14ac:dyDescent="0.2">
      <c r="D42" s="328">
        <v>2</v>
      </c>
      <c r="E42" s="916">
        <v>0.9</v>
      </c>
      <c r="F42" s="917"/>
    </row>
    <row r="43" spans="1:26" x14ac:dyDescent="0.2">
      <c r="D43" s="328">
        <v>1</v>
      </c>
      <c r="E43" s="916">
        <v>2.2999999999999998</v>
      </c>
      <c r="F43" s="917"/>
      <c r="J43" s="329"/>
      <c r="K43" s="918"/>
      <c r="L43" s="918"/>
    </row>
    <row r="44" spans="1:26" x14ac:dyDescent="0.2">
      <c r="D44" s="328">
        <v>0.63</v>
      </c>
      <c r="E44" s="916">
        <v>4</v>
      </c>
      <c r="F44" s="917"/>
      <c r="J44" s="329"/>
      <c r="K44" s="918"/>
      <c r="L44" s="918"/>
    </row>
    <row r="45" spans="1:26" x14ac:dyDescent="0.2">
      <c r="D45" s="328">
        <v>0.4</v>
      </c>
      <c r="E45" s="916">
        <v>12.4</v>
      </c>
      <c r="F45" s="917"/>
      <c r="J45" s="329"/>
      <c r="K45" s="918"/>
      <c r="L45" s="918"/>
    </row>
    <row r="46" spans="1:26" x14ac:dyDescent="0.2">
      <c r="D46" s="328">
        <v>0.2</v>
      </c>
      <c r="E46" s="916">
        <v>111.7</v>
      </c>
      <c r="F46" s="917"/>
      <c r="J46" s="329"/>
      <c r="K46" s="918"/>
      <c r="L46" s="918"/>
    </row>
    <row r="47" spans="1:26" x14ac:dyDescent="0.2">
      <c r="D47" s="328">
        <v>0.1</v>
      </c>
      <c r="E47" s="916">
        <v>71.5</v>
      </c>
      <c r="F47" s="917"/>
      <c r="J47" s="329"/>
      <c r="K47" s="918"/>
      <c r="L47" s="918"/>
    </row>
    <row r="48" spans="1:26" x14ac:dyDescent="0.2">
      <c r="D48" s="328">
        <v>6.3E-2</v>
      </c>
      <c r="E48" s="916">
        <v>29.3</v>
      </c>
      <c r="F48" s="917"/>
      <c r="J48" s="329"/>
      <c r="K48" s="918"/>
      <c r="L48" s="918"/>
    </row>
    <row r="49" spans="4:12" x14ac:dyDescent="0.2">
      <c r="D49" s="330" t="s">
        <v>131</v>
      </c>
      <c r="E49" s="919">
        <v>37.6</v>
      </c>
      <c r="F49" s="920"/>
      <c r="J49" s="329"/>
      <c r="K49" s="918"/>
      <c r="L49" s="918"/>
    </row>
    <row r="50" spans="4:12" x14ac:dyDescent="0.2">
      <c r="J50" s="329"/>
      <c r="K50" s="918"/>
      <c r="L50" s="918"/>
    </row>
    <row r="51" spans="4:12" x14ac:dyDescent="0.2">
      <c r="J51" s="331"/>
      <c r="K51" s="918"/>
      <c r="L51" s="918"/>
    </row>
    <row r="52" spans="4:12" x14ac:dyDescent="0.2">
      <c r="J52" s="332"/>
      <c r="K52" s="918"/>
      <c r="L52" s="918"/>
    </row>
  </sheetData>
  <sheetProtection selectLockedCells="1"/>
  <protectedRanges>
    <protectedRange password="C4F2" sqref="E3:E4 C3:C6 D5:D6 G3:G6 F5 D11:D2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38">
    <mergeCell ref="K52:L52"/>
    <mergeCell ref="E48:F48"/>
    <mergeCell ref="K48:L48"/>
    <mergeCell ref="E49:F49"/>
    <mergeCell ref="K49:L49"/>
    <mergeCell ref="K50:L50"/>
    <mergeCell ref="K51:L51"/>
    <mergeCell ref="E45:F45"/>
    <mergeCell ref="K45:L45"/>
    <mergeCell ref="E46:F46"/>
    <mergeCell ref="K46:L46"/>
    <mergeCell ref="E47:F47"/>
    <mergeCell ref="K47:L47"/>
    <mergeCell ref="E41:F41"/>
    <mergeCell ref="E42:F42"/>
    <mergeCell ref="E43:F43"/>
    <mergeCell ref="K43:L43"/>
    <mergeCell ref="E44:F44"/>
    <mergeCell ref="K44:L44"/>
    <mergeCell ref="A11:A15"/>
    <mergeCell ref="A16:A24"/>
    <mergeCell ref="A26:B26"/>
    <mergeCell ref="A27:B27"/>
    <mergeCell ref="A29:G29"/>
    <mergeCell ref="E40:F40"/>
    <mergeCell ref="O1:O2"/>
    <mergeCell ref="P1:P2"/>
    <mergeCell ref="Q1:Q2"/>
    <mergeCell ref="R1:R2"/>
    <mergeCell ref="S1:S2"/>
    <mergeCell ref="E8:F8"/>
    <mergeCell ref="G8:G9"/>
    <mergeCell ref="A1:G1"/>
    <mergeCell ref="I1:J2"/>
    <mergeCell ref="K1:K2"/>
    <mergeCell ref="L1:L2"/>
    <mergeCell ref="M1:M2"/>
    <mergeCell ref="N1:N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7"/>
  <dimension ref="A1:AE36"/>
  <sheetViews>
    <sheetView topLeftCell="E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214.6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63.4</v>
      </c>
      <c r="F14" s="170">
        <f t="shared" si="13"/>
        <v>29.557109557109555</v>
      </c>
      <c r="G14" s="182">
        <f t="shared" si="14"/>
        <v>70.442890442890445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12.8</v>
      </c>
      <c r="F15" s="194">
        <f t="shared" si="13"/>
        <v>5.9673659673659678</v>
      </c>
      <c r="G15" s="195">
        <f t="shared" si="14"/>
        <v>64.47552447552448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13.8</v>
      </c>
      <c r="F16" s="170">
        <f t="shared" si="13"/>
        <v>6.4335664335664342</v>
      </c>
      <c r="G16" s="176">
        <f t="shared" si="14"/>
        <v>58.041958041958047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10.4</v>
      </c>
      <c r="F17" s="170">
        <f t="shared" si="13"/>
        <v>4.8484848484848486</v>
      </c>
      <c r="G17" s="182">
        <f t="shared" si="14"/>
        <v>53.193473193473196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19.399999999999999</v>
      </c>
      <c r="F18" s="170">
        <f t="shared" si="13"/>
        <v>9.0442890442890427</v>
      </c>
      <c r="G18" s="182">
        <f t="shared" si="14"/>
        <v>44.149184149184151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18</v>
      </c>
      <c r="F19" s="170">
        <f t="shared" si="13"/>
        <v>8.3916083916083917</v>
      </c>
      <c r="G19" s="182">
        <f t="shared" si="14"/>
        <v>35.757575757575758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11.3</v>
      </c>
      <c r="F20" s="170">
        <f t="shared" si="13"/>
        <v>5.2680652680652678</v>
      </c>
      <c r="G20" s="182">
        <f t="shared" si="14"/>
        <v>30.48951048951049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7.25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9.1999999999999993</v>
      </c>
      <c r="F21" s="170">
        <f t="shared" si="13"/>
        <v>4.2890442890442886</v>
      </c>
      <c r="G21" s="182">
        <f t="shared" si="14"/>
        <v>26.200466200466202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0.215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39.5</v>
      </c>
      <c r="F22" s="170">
        <f t="shared" si="13"/>
        <v>18.414918414918414</v>
      </c>
      <c r="G22" s="182">
        <f t="shared" si="14"/>
        <v>7.7855477855477879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33.720930232558139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9.6</v>
      </c>
      <c r="F23" s="170">
        <f t="shared" si="13"/>
        <v>4.4755244755244759</v>
      </c>
      <c r="G23" s="211">
        <f t="shared" si="14"/>
        <v>3.3100233100233121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3.1</v>
      </c>
      <c r="F24" s="213">
        <f t="shared" si="13"/>
        <v>1.4452214452214454</v>
      </c>
      <c r="G24" s="214">
        <f t="shared" si="14"/>
        <v>1.8648018648018667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5.5229629999999975E-4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</v>
      </c>
      <c r="F25" s="170">
        <f t="shared" si="13"/>
        <v>1.8648018648018647</v>
      </c>
      <c r="G25" s="176">
        <f>G24-F25</f>
        <v>1.9984014443252818E-15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214.6</v>
      </c>
      <c r="D26" s="735" t="s">
        <v>19</v>
      </c>
      <c r="E26" s="221">
        <f>SUM(E12:E25)</f>
        <v>214.5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9.9999999999994316E-2</v>
      </c>
      <c r="F27" s="310">
        <f>IF((E27/G6*100)&gt;1,"Fehler zu groß",(E27/G6*100))</f>
        <v>4.659832246038878E-2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3.9304192999999996E-5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2.7999999999999998E-4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4.1614814999999986E-4</v>
      </c>
      <c r="W36" s="838">
        <v>7.9830000000000005E-4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8"/>
  <dimension ref="A1:AE36"/>
  <sheetViews>
    <sheetView topLeftCell="K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644.6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148.69999999999999</v>
      </c>
      <c r="F13" s="170">
        <f t="shared" si="13"/>
        <v>23.122375991292181</v>
      </c>
      <c r="G13" s="182">
        <f t="shared" si="14"/>
        <v>76.877624008707812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69.599999999999994</v>
      </c>
      <c r="F14" s="170">
        <f t="shared" si="13"/>
        <v>10.82257813714819</v>
      </c>
      <c r="G14" s="182">
        <f t="shared" si="14"/>
        <v>66.055045871559628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113.1</v>
      </c>
      <c r="F15" s="194">
        <f t="shared" si="13"/>
        <v>17.586689472865807</v>
      </c>
      <c r="G15" s="195">
        <f t="shared" si="14"/>
        <v>48.468356398693821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29</v>
      </c>
      <c r="F16" s="170">
        <f t="shared" si="13"/>
        <v>4.5094075571450798</v>
      </c>
      <c r="G16" s="176">
        <f t="shared" si="14"/>
        <v>43.958948841548739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29.2</v>
      </c>
      <c r="F17" s="170">
        <f t="shared" si="13"/>
        <v>4.5405069196081485</v>
      </c>
      <c r="G17" s="182">
        <f t="shared" si="14"/>
        <v>39.418441921940591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44.5</v>
      </c>
      <c r="F18" s="170">
        <f t="shared" si="13"/>
        <v>6.9196081480329656</v>
      </c>
      <c r="G18" s="182">
        <f t="shared" si="14"/>
        <v>32.498833773907627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40.299999999999997</v>
      </c>
      <c r="F19" s="170">
        <f t="shared" si="13"/>
        <v>6.2665215363085061</v>
      </c>
      <c r="G19" s="182">
        <f t="shared" si="14"/>
        <v>26.232312237599121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34</v>
      </c>
      <c r="F20" s="170">
        <f t="shared" si="13"/>
        <v>5.2868916187218167</v>
      </c>
      <c r="G20" s="182">
        <f t="shared" si="14"/>
        <v>20.945420618877304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14.5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16.899999999999999</v>
      </c>
      <c r="F21" s="170">
        <f t="shared" si="13"/>
        <v>2.6278961281293736</v>
      </c>
      <c r="G21" s="182">
        <f t="shared" si="14"/>
        <v>18.317524490747928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0.215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61.8</v>
      </c>
      <c r="F22" s="170">
        <f t="shared" si="13"/>
        <v>9.6097030010884783</v>
      </c>
      <c r="G22" s="182">
        <f t="shared" si="14"/>
        <v>8.7078214896594499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67.441860465116278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21.5</v>
      </c>
      <c r="F23" s="170">
        <f t="shared" si="13"/>
        <v>3.3431814647799727</v>
      </c>
      <c r="G23" s="211">
        <f t="shared" si="14"/>
        <v>5.3646400248794777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9.1</v>
      </c>
      <c r="F24" s="213">
        <f t="shared" si="13"/>
        <v>1.4150209920696626</v>
      </c>
      <c r="G24" s="214">
        <f t="shared" si="14"/>
        <v>3.9496190328098151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5.5229629999999975E-4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25.4</v>
      </c>
      <c r="F25" s="170">
        <f t="shared" si="13"/>
        <v>3.949619032809828</v>
      </c>
      <c r="G25" s="176">
        <f>G24-F25</f>
        <v>-1.2878587085651816E-14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643.09999999999991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1.5000000000001137</v>
      </c>
      <c r="F27" s="310">
        <f>IF((E27/G6*100)&gt;1,"Fehler zu groß",(E27/G6*100))</f>
        <v>0.23270245113250287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3.9304192999999996E-5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2.9E-4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4.2114814999999988E-4</v>
      </c>
      <c r="W36" s="838">
        <v>7.4439999999999999E-4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9"/>
  <dimension ref="A1:AE36"/>
  <sheetViews>
    <sheetView topLeftCell="J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24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696.1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74.599999999999994</v>
      </c>
      <c r="F13" s="170">
        <f t="shared" si="13"/>
        <v>10.736902705814623</v>
      </c>
      <c r="G13" s="182">
        <f t="shared" si="14"/>
        <v>89.263097294185371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194.3</v>
      </c>
      <c r="F14" s="170">
        <f t="shared" si="13"/>
        <v>27.964881980426025</v>
      </c>
      <c r="G14" s="182">
        <f t="shared" si="14"/>
        <v>61.298215313759343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85.2</v>
      </c>
      <c r="F15" s="194">
        <f t="shared" si="13"/>
        <v>12.262521588946461</v>
      </c>
      <c r="G15" s="195">
        <f t="shared" si="14"/>
        <v>49.03569372481288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27.7</v>
      </c>
      <c r="F16" s="170">
        <f t="shared" si="13"/>
        <v>3.986758779504894</v>
      </c>
      <c r="G16" s="176">
        <f t="shared" si="14"/>
        <v>45.048934945307984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43.7</v>
      </c>
      <c r="F17" s="170">
        <f t="shared" si="13"/>
        <v>6.2895797351755904</v>
      </c>
      <c r="G17" s="182">
        <f t="shared" si="14"/>
        <v>38.759355210132391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63.1</v>
      </c>
      <c r="F18" s="170">
        <f t="shared" si="13"/>
        <v>9.0817501439263104</v>
      </c>
      <c r="G18" s="182">
        <f t="shared" si="14"/>
        <v>29.67760506620608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79.7</v>
      </c>
      <c r="F19" s="170">
        <f t="shared" si="13"/>
        <v>11.470926885434658</v>
      </c>
      <c r="G19" s="182">
        <f t="shared" si="14"/>
        <v>18.206678180771423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57.5</v>
      </c>
      <c r="F20" s="170">
        <f t="shared" si="13"/>
        <v>8.2757628094415665</v>
      </c>
      <c r="G20" s="182">
        <f t="shared" si="14"/>
        <v>9.9309153713298564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18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23.8</v>
      </c>
      <c r="F21" s="170">
        <f t="shared" si="13"/>
        <v>3.4254461715601612</v>
      </c>
      <c r="G21" s="182">
        <f t="shared" si="14"/>
        <v>6.5054691997696956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0.61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22</v>
      </c>
      <c r="F22" s="170">
        <f t="shared" si="13"/>
        <v>3.1663788140472082</v>
      </c>
      <c r="G22" s="182">
        <f t="shared" si="14"/>
        <v>3.3390903857224874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29.508196721311474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9.1999999999999993</v>
      </c>
      <c r="F23" s="170">
        <f t="shared" si="13"/>
        <v>1.3241220495106505</v>
      </c>
      <c r="G23" s="211">
        <f t="shared" si="14"/>
        <v>2.0149683362118367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4.5999999999999996</v>
      </c>
      <c r="F24" s="213">
        <f t="shared" si="13"/>
        <v>0.66206102475532524</v>
      </c>
      <c r="G24" s="214">
        <f t="shared" si="14"/>
        <v>1.3529073114565113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4.445850799999998E-3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9.4</v>
      </c>
      <c r="F25" s="170">
        <f t="shared" si="13"/>
        <v>1.3529073114565344</v>
      </c>
      <c r="G25" s="176">
        <f>G24-F25</f>
        <v>-2.3092638912203256E-14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694.8</v>
      </c>
      <c r="F26" s="305">
        <f>SUM(F12:F25)</f>
        <v>100.00000000000003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1.3000000000000682</v>
      </c>
      <c r="F27" s="310">
        <f>IF((E27/G6*100)&gt;1,"Fehler zu groß",(E27/G6*100))</f>
        <v>0.18675477661256545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3.1638918799999999E-4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803" t="str">
        <f>IF(W21&lt;0.61,"OK","ungültig")</f>
        <v>ungültig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(W24)</f>
        <v>4.445850799999998E-3</v>
      </c>
      <c r="W36" s="838">
        <v>3.4510000000000001E-3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0"/>
  <dimension ref="A1:AE36"/>
  <sheetViews>
    <sheetView topLeftCell="H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25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698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88.1</v>
      </c>
      <c r="F14" s="170">
        <f t="shared" si="13"/>
        <v>12.627203669198797</v>
      </c>
      <c r="G14" s="182">
        <f t="shared" si="14"/>
        <v>87.372796330801208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135</v>
      </c>
      <c r="F15" s="194">
        <f t="shared" si="13"/>
        <v>19.349290526014048</v>
      </c>
      <c r="G15" s="195">
        <f t="shared" si="14"/>
        <v>68.023505804787163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25.6</v>
      </c>
      <c r="F16" s="170">
        <f t="shared" si="13"/>
        <v>3.6691987960441459</v>
      </c>
      <c r="G16" s="176">
        <f t="shared" si="14"/>
        <v>64.354307008743021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37.5</v>
      </c>
      <c r="F17" s="170">
        <f t="shared" si="13"/>
        <v>5.3748029238927906</v>
      </c>
      <c r="G17" s="182">
        <f t="shared" si="14"/>
        <v>58.979504084850234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38.700000000000003</v>
      </c>
      <c r="F18" s="170">
        <f t="shared" si="13"/>
        <v>5.5467966174573604</v>
      </c>
      <c r="G18" s="182">
        <f t="shared" si="14"/>
        <v>53.432707467392873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42.9</v>
      </c>
      <c r="F19" s="170">
        <f t="shared" si="13"/>
        <v>6.1487745449333522</v>
      </c>
      <c r="G19" s="182">
        <f t="shared" si="14"/>
        <v>47.28393292245952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90.8</v>
      </c>
      <c r="F20" s="170">
        <f t="shared" si="13"/>
        <v>13.014189479719077</v>
      </c>
      <c r="G20" s="182">
        <f t="shared" si="14"/>
        <v>34.269743442740442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4.4259000000000004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101.6</v>
      </c>
      <c r="F21" s="170">
        <f t="shared" si="13"/>
        <v>14.5621327218002</v>
      </c>
      <c r="G21" s="182">
        <f t="shared" si="14"/>
        <v>19.707610720940242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0.28670000000000001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120.6</v>
      </c>
      <c r="F22" s="170">
        <f t="shared" si="13"/>
        <v>17.285366203239217</v>
      </c>
      <c r="G22" s="182">
        <f t="shared" si="14"/>
        <v>2.4222445177010243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15.437391001046391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11</v>
      </c>
      <c r="F23" s="170">
        <f t="shared" si="13"/>
        <v>1.5766088576752189</v>
      </c>
      <c r="G23" s="211">
        <f t="shared" si="14"/>
        <v>0.84563566002580548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2.4</v>
      </c>
      <c r="F24" s="213">
        <f t="shared" si="13"/>
        <v>0.34398738712913862</v>
      </c>
      <c r="G24" s="214">
        <f t="shared" si="14"/>
        <v>0.50164827289666691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9.8208844171999987E-4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3.5</v>
      </c>
      <c r="F25" s="170">
        <f t="shared" si="13"/>
        <v>0.50164827289666047</v>
      </c>
      <c r="G25" s="176">
        <f>G24-F25</f>
        <v>6.4392935428259079E-15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697.69999999999993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0.30000000000006821</v>
      </c>
      <c r="F27" s="310">
        <f>IF((E27/G6*100)&gt;1,"Fehler zu groß",(E27/G6*100))</f>
        <v>4.2979942693419516E-2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6.9890371629199998E-5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795"/>
      <c r="X29" s="794" t="s">
        <v>113</v>
      </c>
      <c r="Y29" s="795">
        <v>4.6500000000000003E-4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7.2354422086E-4</v>
      </c>
      <c r="W36" s="838">
        <v>5.3149999999999996E-4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1"/>
  <dimension ref="A1:AE36"/>
  <sheetViews>
    <sheetView topLeftCell="S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26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1144.9000000000001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279.5</v>
      </c>
      <c r="F14" s="170">
        <f t="shared" si="13"/>
        <v>24.423278573925202</v>
      </c>
      <c r="G14" s="182">
        <f t="shared" si="14"/>
        <v>75.576721426074798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185.6</v>
      </c>
      <c r="F15" s="194">
        <f t="shared" si="13"/>
        <v>16.218105557497381</v>
      </c>
      <c r="G15" s="195">
        <f t="shared" si="14"/>
        <v>59.358615868577417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34.1</v>
      </c>
      <c r="F16" s="170">
        <f t="shared" si="13"/>
        <v>2.9797273680531289</v>
      </c>
      <c r="G16" s="176">
        <f t="shared" si="14"/>
        <v>56.37888850052429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58.4</v>
      </c>
      <c r="F17" s="170">
        <f t="shared" si="13"/>
        <v>5.1031108004194348</v>
      </c>
      <c r="G17" s="182">
        <f t="shared" si="14"/>
        <v>51.275777700104854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84.3</v>
      </c>
      <c r="F18" s="170">
        <f t="shared" si="13"/>
        <v>7.3663054875917506</v>
      </c>
      <c r="G18" s="182">
        <f t="shared" si="14"/>
        <v>43.909472212513101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93.8</v>
      </c>
      <c r="F19" s="170">
        <f t="shared" si="13"/>
        <v>8.1964348130024476</v>
      </c>
      <c r="G19" s="182">
        <f t="shared" si="14"/>
        <v>35.713037399510654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182</v>
      </c>
      <c r="F20" s="170">
        <f t="shared" si="13"/>
        <v>15.903530234183854</v>
      </c>
      <c r="G20" s="182">
        <f t="shared" si="14"/>
        <v>19.809507165326799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132.5</v>
      </c>
      <c r="F21" s="170">
        <f t="shared" si="13"/>
        <v>11.578119538622861</v>
      </c>
      <c r="G21" s="182">
        <f t="shared" si="14"/>
        <v>8.2313876267039383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72</v>
      </c>
      <c r="F22" s="170">
        <f t="shared" si="13"/>
        <v>6.2915064662705351</v>
      </c>
      <c r="G22" s="182">
        <f t="shared" si="14"/>
        <v>1.9398811604334032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25.609756097560979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12.3</v>
      </c>
      <c r="F23" s="170">
        <f t="shared" si="13"/>
        <v>1.0747990213212166</v>
      </c>
      <c r="G23" s="211">
        <f t="shared" si="14"/>
        <v>0.86508213911218657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</v>
      </c>
      <c r="F24" s="213">
        <f t="shared" si="13"/>
        <v>0.34952813701502972</v>
      </c>
      <c r="G24" s="214">
        <f t="shared" si="14"/>
        <v>0.51555400209715685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2.0084587999999993E-3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5.9</v>
      </c>
      <c r="F25" s="170">
        <f t="shared" si="13"/>
        <v>0.51555400209716884</v>
      </c>
      <c r="G25" s="176">
        <f>G24-F25</f>
        <v>-1.1990408665951691E-14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1144.3999999999999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0.50000000000022737</v>
      </c>
      <c r="F27" s="310">
        <f>IF((E27/G6*100)&gt;1,"Fehler zu groß",(E27/G6*100))</f>
        <v>4.3671936413680439E-2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1.4293206799999997E-4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1.5042293999999996E-3</v>
      </c>
      <c r="W36" s="838">
        <v>2.7629999999999998E-3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2"/>
  <dimension ref="A1:AE36"/>
  <sheetViews>
    <sheetView topLeftCell="H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27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1538.7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166.3</v>
      </c>
      <c r="F13" s="170">
        <f t="shared" si="13"/>
        <v>10.809932397295892</v>
      </c>
      <c r="G13" s="182">
        <f t="shared" si="14"/>
        <v>89.190067602704104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437.2</v>
      </c>
      <c r="F14" s="170">
        <f t="shared" si="13"/>
        <v>28.419136765470615</v>
      </c>
      <c r="G14" s="182">
        <f t="shared" si="14"/>
        <v>60.770930837233493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200.5</v>
      </c>
      <c r="F15" s="194">
        <f t="shared" si="13"/>
        <v>13.033021320852834</v>
      </c>
      <c r="G15" s="195">
        <f t="shared" si="14"/>
        <v>47.737909516380661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50.8</v>
      </c>
      <c r="F16" s="170">
        <f t="shared" si="13"/>
        <v>3.3021320852834108</v>
      </c>
      <c r="G16" s="176">
        <f t="shared" si="14"/>
        <v>44.43577743109725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90.9</v>
      </c>
      <c r="F17" s="170">
        <f t="shared" si="13"/>
        <v>5.908736349453978</v>
      </c>
      <c r="G17" s="182">
        <f t="shared" si="14"/>
        <v>38.527041081643276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114.5</v>
      </c>
      <c r="F18" s="170">
        <f t="shared" si="13"/>
        <v>7.4427977119084758</v>
      </c>
      <c r="G18" s="182">
        <f t="shared" si="14"/>
        <v>31.0842433697348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107</v>
      </c>
      <c r="F19" s="170">
        <f t="shared" si="13"/>
        <v>6.9552782111284444</v>
      </c>
      <c r="G19" s="182">
        <f t="shared" si="14"/>
        <v>24.128965158606356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173.7</v>
      </c>
      <c r="F20" s="170">
        <f t="shared" si="13"/>
        <v>11.290951638065522</v>
      </c>
      <c r="G20" s="182">
        <f t="shared" si="14"/>
        <v>12.838013520540834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19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110.4</v>
      </c>
      <c r="F21" s="170">
        <f t="shared" si="13"/>
        <v>7.1762870514820598</v>
      </c>
      <c r="G21" s="182">
        <f t="shared" si="14"/>
        <v>5.6617264690587739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0.505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57.3</v>
      </c>
      <c r="F22" s="170">
        <f t="shared" si="13"/>
        <v>3.7246489859594383</v>
      </c>
      <c r="G22" s="182">
        <f t="shared" si="14"/>
        <v>1.9370774830993356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37.623762376237622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13.7</v>
      </c>
      <c r="F23" s="170">
        <f t="shared" si="13"/>
        <v>0.89053562142485687</v>
      </c>
      <c r="G23" s="211">
        <f t="shared" si="14"/>
        <v>1.0465418616744788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4.2</v>
      </c>
      <c r="F24" s="213">
        <f t="shared" si="13"/>
        <v>0.27301092043681746</v>
      </c>
      <c r="G24" s="214">
        <f t="shared" si="14"/>
        <v>0.77353094123766142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3.0470386999999991E-3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11.9</v>
      </c>
      <c r="F25" s="170">
        <f t="shared" si="13"/>
        <v>0.77353094123764954</v>
      </c>
      <c r="G25" s="176">
        <f>G24-F25</f>
        <v>1.1879386363489175E-14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1538.4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0.29999999999995453</v>
      </c>
      <c r="F27" s="310">
        <f>IF((E27/G6*100)&gt;1,"Fehler zu groß",(E27/G6*100))</f>
        <v>1.949697796841194E-2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2.16842657E-4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1.6000000000000001E-3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2.3235193499999995E-3</v>
      </c>
      <c r="W36" s="838">
        <v>4.6490000000000004E-3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3"/>
  <dimension ref="A1:AE37"/>
  <sheetViews>
    <sheetView topLeftCell="H18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28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228.6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15.8</v>
      </c>
      <c r="F15" s="194">
        <f t="shared" si="13"/>
        <v>6.92071835304424</v>
      </c>
      <c r="G15" s="195">
        <f t="shared" si="14"/>
        <v>93.079281646955764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5.4</v>
      </c>
      <c r="F16" s="170">
        <f t="shared" si="13"/>
        <v>2.3653088042049939</v>
      </c>
      <c r="G16" s="176">
        <f t="shared" si="14"/>
        <v>90.713972842750763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6.2</v>
      </c>
      <c r="F17" s="170">
        <f t="shared" si="13"/>
        <v>2.7157249233464742</v>
      </c>
      <c r="G17" s="182">
        <f t="shared" si="14"/>
        <v>87.998247919404292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10</v>
      </c>
      <c r="F18" s="170">
        <f t="shared" si="13"/>
        <v>4.3802014892685062</v>
      </c>
      <c r="G18" s="182">
        <f t="shared" si="14"/>
        <v>83.618046430135792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11.4</v>
      </c>
      <c r="F19" s="170">
        <f t="shared" si="13"/>
        <v>4.9934296977660972</v>
      </c>
      <c r="G19" s="182">
        <f t="shared" si="14"/>
        <v>78.624616732369688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23.6</v>
      </c>
      <c r="F20" s="170">
        <f t="shared" si="13"/>
        <v>10.337275514673676</v>
      </c>
      <c r="G20" s="182">
        <f t="shared" si="14"/>
        <v>68.28734121769601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0.52390000000000003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41.2</v>
      </c>
      <c r="F21" s="170">
        <f t="shared" si="13"/>
        <v>18.046430135786249</v>
      </c>
      <c r="G21" s="182">
        <f t="shared" si="14"/>
        <v>50.240911081909758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0.2185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101.4</v>
      </c>
      <c r="F22" s="170">
        <f t="shared" si="13"/>
        <v>44.415243101182661</v>
      </c>
      <c r="G22" s="182">
        <f t="shared" si="14"/>
        <v>5.825667980727097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2.3977116704805495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8.6999999999999993</v>
      </c>
      <c r="F23" s="170">
        <f t="shared" si="13"/>
        <v>3.8107752956636007</v>
      </c>
      <c r="G23" s="211">
        <f t="shared" si="14"/>
        <v>2.0148926850634963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1.4</v>
      </c>
      <c r="F24" s="213">
        <f t="shared" si="13"/>
        <v>0.61322820849759097</v>
      </c>
      <c r="G24" s="214">
        <f t="shared" si="14"/>
        <v>1.4016644765659052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5.7042440299999984E-4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3.2</v>
      </c>
      <c r="F25" s="170">
        <f t="shared" si="13"/>
        <v>1.4016644765659221</v>
      </c>
      <c r="G25" s="176">
        <f>G24-F25</f>
        <v>-1.6875389974302379E-14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228.29999999999998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1.3899999999999999E-2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0.30000000000001137</v>
      </c>
      <c r="F27" s="310">
        <f>IF((E27/G6*100)&gt;1,"Fehler zu groß",(E27/G6*100))</f>
        <v>0.13123359580052993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4.8643146257500001E-4</v>
      </c>
      <c r="X27" s="836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839">
        <v>4.4499999999999997E-4</v>
      </c>
      <c r="X29" s="794" t="s">
        <v>113</v>
      </c>
      <c r="Y29" s="795">
        <v>4.4499999999999997E-4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5.0771220149999985E-4</v>
      </c>
      <c r="W36" s="838">
        <v>4.817E-4</v>
      </c>
      <c r="X36" s="530"/>
      <c r="Y36" s="530"/>
    </row>
    <row r="37" spans="1:25" x14ac:dyDescent="0.2">
      <c r="W37" s="839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4"/>
  <dimension ref="A1:AE36"/>
  <sheetViews>
    <sheetView topLeftCell="G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29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389.8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119.8</v>
      </c>
      <c r="F14" s="170">
        <f t="shared" si="13"/>
        <v>30.74948665297741</v>
      </c>
      <c r="G14" s="182">
        <f t="shared" si="14"/>
        <v>69.25051334702259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36.200000000000003</v>
      </c>
      <c r="F15" s="194">
        <f t="shared" si="13"/>
        <v>9.2915811088295683</v>
      </c>
      <c r="G15" s="195">
        <f t="shared" si="14"/>
        <v>59.958932238193022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10.7</v>
      </c>
      <c r="F16" s="170">
        <f t="shared" si="13"/>
        <v>2.7464065708418888</v>
      </c>
      <c r="G16" s="176">
        <f t="shared" si="14"/>
        <v>57.21252566735113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17.600000000000001</v>
      </c>
      <c r="F17" s="170">
        <f t="shared" si="13"/>
        <v>4.517453798767967</v>
      </c>
      <c r="G17" s="182">
        <f t="shared" si="14"/>
        <v>52.695071868583163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25.9</v>
      </c>
      <c r="F18" s="170">
        <f t="shared" si="13"/>
        <v>6.6478439425051326</v>
      </c>
      <c r="G18" s="182">
        <f t="shared" si="14"/>
        <v>46.04722792607803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33.200000000000003</v>
      </c>
      <c r="F19" s="170">
        <f t="shared" si="13"/>
        <v>8.5215605749486656</v>
      </c>
      <c r="G19" s="182">
        <f t="shared" si="14"/>
        <v>37.525667351129364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33.299999999999997</v>
      </c>
      <c r="F20" s="170">
        <f t="shared" si="13"/>
        <v>8.5472279260780262</v>
      </c>
      <c r="G20" s="182">
        <f t="shared" si="14"/>
        <v>28.978439425051338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23.6</v>
      </c>
      <c r="F21" s="170">
        <f t="shared" si="13"/>
        <v>6.0574948665297743</v>
      </c>
      <c r="G21" s="182">
        <f t="shared" si="14"/>
        <v>22.920944558521562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0.19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49.3</v>
      </c>
      <c r="F22" s="170">
        <f t="shared" si="13"/>
        <v>12.654004106776179</v>
      </c>
      <c r="G22" s="182">
        <f t="shared" si="14"/>
        <v>10.266940451745382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52.631578947368418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19.7</v>
      </c>
      <c r="F23" s="170">
        <f t="shared" si="13"/>
        <v>5.0564681724845988</v>
      </c>
      <c r="G23" s="211">
        <f t="shared" si="14"/>
        <v>5.2104722792607836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8.1</v>
      </c>
      <c r="F24" s="213">
        <f t="shared" si="13"/>
        <v>2.0790554414784395</v>
      </c>
      <c r="G24" s="214">
        <f t="shared" si="14"/>
        <v>3.1314168377823441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4.3132279999999988E-4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12.2</v>
      </c>
      <c r="F25" s="170">
        <f t="shared" si="13"/>
        <v>3.1314168377823406</v>
      </c>
      <c r="G25" s="176">
        <f>G24-F25</f>
        <v>3.5527136788005009E-15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389.6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0.19999999999998863</v>
      </c>
      <c r="F27" s="310">
        <f>IF((E27/G6*100)&gt;1,"Fehler zu groß",(E27/G6*100))</f>
        <v>5.1308363263208985E-2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3.0695107999999999E-5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2.1000000000000001E-4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331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3.2066139999999995E-4</v>
      </c>
      <c r="W36" s="838">
        <v>6.7029999999999998E-4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5"/>
  <dimension ref="A1:AE36"/>
  <sheetViews>
    <sheetView topLeftCell="E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241.6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15</v>
      </c>
      <c r="F14" s="170">
        <f t="shared" si="13"/>
        <v>6.2163282221301275</v>
      </c>
      <c r="G14" s="182">
        <f t="shared" si="14"/>
        <v>93.78367177786987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22.1</v>
      </c>
      <c r="F15" s="194">
        <f t="shared" si="13"/>
        <v>9.1587235806050558</v>
      </c>
      <c r="G15" s="195">
        <f t="shared" si="14"/>
        <v>84.624948197264814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3.9</v>
      </c>
      <c r="F16" s="170">
        <f t="shared" si="13"/>
        <v>1.6162453377538331</v>
      </c>
      <c r="G16" s="176">
        <f t="shared" si="14"/>
        <v>83.008702859510976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10.6</v>
      </c>
      <c r="F17" s="170">
        <f t="shared" si="13"/>
        <v>4.3928719436386228</v>
      </c>
      <c r="G17" s="182">
        <f t="shared" si="14"/>
        <v>78.615830915872351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22.2</v>
      </c>
      <c r="F18" s="170">
        <f t="shared" si="13"/>
        <v>9.2001657687525888</v>
      </c>
      <c r="G18" s="182">
        <f t="shared" si="14"/>
        <v>69.415665147119768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32.1</v>
      </c>
      <c r="F19" s="170">
        <f t="shared" si="13"/>
        <v>13.302942395358475</v>
      </c>
      <c r="G19" s="182">
        <f t="shared" si="14"/>
        <v>56.112722751761297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33.200000000000003</v>
      </c>
      <c r="F20" s="170">
        <f t="shared" si="13"/>
        <v>13.758806464981349</v>
      </c>
      <c r="G20" s="182">
        <f t="shared" si="14"/>
        <v>42.353916286779949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1.2931999999999999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23.6</v>
      </c>
      <c r="F21" s="170">
        <f t="shared" si="13"/>
        <v>9.7803564028180681</v>
      </c>
      <c r="G21" s="182">
        <f t="shared" si="14"/>
        <v>32.573559883961877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0.1459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44.6</v>
      </c>
      <c r="F22" s="170">
        <f t="shared" si="13"/>
        <v>18.483215913800247</v>
      </c>
      <c r="G22" s="182">
        <f t="shared" si="14"/>
        <v>14.09034397016163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8.8636052090472912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17.8</v>
      </c>
      <c r="F23" s="170">
        <f t="shared" si="13"/>
        <v>7.376709490261085</v>
      </c>
      <c r="G23" s="211">
        <f t="shared" si="14"/>
        <v>6.713634479900545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6.8</v>
      </c>
      <c r="F24" s="213">
        <f t="shared" si="13"/>
        <v>2.8180687940323241</v>
      </c>
      <c r="G24" s="214">
        <f t="shared" si="14"/>
        <v>3.8955656858682208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2.5433480587999993E-4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9.4</v>
      </c>
      <c r="F25" s="170">
        <f t="shared" si="13"/>
        <v>3.8955656858682133</v>
      </c>
      <c r="G25" s="176">
        <f>G24-F25</f>
        <v>7.5495165674510645E-15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147">
        <v>241.6</v>
      </c>
      <c r="D26" s="735" t="s">
        <v>19</v>
      </c>
      <c r="E26" s="221">
        <f>SUM(E12:E25)</f>
        <v>241.30000000000004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0.29999999999995453</v>
      </c>
      <c r="F27" s="310">
        <f>IF((E27/G6*100)&gt;1,"Fehler zu groß",(E27/G6*100))</f>
        <v>0.12417218543044475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1.8099748806799997E-5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1.125E-4</v>
      </c>
      <c r="X29" s="794" t="s">
        <v>113</v>
      </c>
      <c r="Y29" s="795">
        <v>1.125E-4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1.8341740293999995E-4</v>
      </c>
      <c r="W36" s="838">
        <v>1.6249999999999999E-4</v>
      </c>
      <c r="X36" s="530"/>
      <c r="Y36" s="530"/>
    </row>
  </sheetData>
  <sheetProtection selectLockedCells="1"/>
  <protectedRanges>
    <protectedRange password="C4F2" sqref="E3:E4 C3:C6 D5:D6 G3:G6 F5 C26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6"/>
  <dimension ref="A1:AE36"/>
  <sheetViews>
    <sheetView topLeftCell="D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351.9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44.1</v>
      </c>
      <c r="F13" s="170">
        <f t="shared" si="13"/>
        <v>12.531969309462918</v>
      </c>
      <c r="G13" s="182">
        <f t="shared" si="14"/>
        <v>87.468030690537077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106.8</v>
      </c>
      <c r="F14" s="170">
        <f t="shared" si="13"/>
        <v>30.349531116794541</v>
      </c>
      <c r="G14" s="182">
        <f t="shared" si="14"/>
        <v>57.11849957374254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19.899999999999999</v>
      </c>
      <c r="F15" s="194">
        <f t="shared" si="13"/>
        <v>5.6550156294401823</v>
      </c>
      <c r="G15" s="195">
        <f t="shared" si="14"/>
        <v>51.463483944302354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9</v>
      </c>
      <c r="F16" s="170">
        <f t="shared" si="13"/>
        <v>2.5575447570332486</v>
      </c>
      <c r="G16" s="176">
        <f t="shared" si="14"/>
        <v>48.905939187269105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9</v>
      </c>
      <c r="F17" s="170">
        <f t="shared" si="13"/>
        <v>2.5575447570332486</v>
      </c>
      <c r="G17" s="182">
        <f t="shared" si="14"/>
        <v>46.348394430235857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15.5</v>
      </c>
      <c r="F18" s="170">
        <f t="shared" si="13"/>
        <v>4.4046604148905937</v>
      </c>
      <c r="G18" s="182">
        <f t="shared" si="14"/>
        <v>41.943734015345264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33</v>
      </c>
      <c r="F19" s="170">
        <f t="shared" si="13"/>
        <v>9.3776641091219091</v>
      </c>
      <c r="G19" s="182">
        <f t="shared" si="14"/>
        <v>32.566069906223355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33.200000000000003</v>
      </c>
      <c r="F20" s="170">
        <f t="shared" si="13"/>
        <v>9.4344984370559821</v>
      </c>
      <c r="G20" s="182">
        <f t="shared" si="14"/>
        <v>23.131571469167373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21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19.600000000000001</v>
      </c>
      <c r="F21" s="170">
        <f t="shared" si="13"/>
        <v>5.5697641375390745</v>
      </c>
      <c r="G21" s="182">
        <f t="shared" si="14"/>
        <v>17.561807331628298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0.215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33.799999999999997</v>
      </c>
      <c r="F22" s="170">
        <f t="shared" si="13"/>
        <v>9.6050014208581995</v>
      </c>
      <c r="G22" s="182">
        <f t="shared" si="14"/>
        <v>7.9568059107700986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97.674418604651166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15.7</v>
      </c>
      <c r="F23" s="170">
        <f t="shared" si="13"/>
        <v>4.4614947428246658</v>
      </c>
      <c r="G23" s="211">
        <f t="shared" si="14"/>
        <v>3.4953111679454327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5.4</v>
      </c>
      <c r="F24" s="213">
        <f t="shared" si="13"/>
        <v>1.5345268542199491</v>
      </c>
      <c r="G24" s="214">
        <f t="shared" si="14"/>
        <v>1.9607843137254837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5.5229629999999975E-4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6.9</v>
      </c>
      <c r="F25" s="170">
        <f t="shared" si="13"/>
        <v>1.9607843137254906</v>
      </c>
      <c r="G25" s="176">
        <f>G24-F25</f>
        <v>-6.8833827526759706E-15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351.9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</v>
      </c>
      <c r="F27" s="310">
        <f>IF((E27/G6*100)&gt;1,"Fehler zu groß",(E27/G6*100))</f>
        <v>0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3.9304192999999996E-5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2.7999999999999998E-4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4.1614814999999986E-4</v>
      </c>
      <c r="W36" s="838">
        <v>1.0740000000000001E-3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7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802">
        <v>326.89999999999998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28.6</v>
      </c>
      <c r="F14" s="170">
        <f t="shared" si="13"/>
        <v>8.7649402390438258</v>
      </c>
      <c r="G14" s="182">
        <f t="shared" si="14"/>
        <v>91.235059760956176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9.1</v>
      </c>
      <c r="F15" s="194">
        <f t="shared" si="13"/>
        <v>2.7888446215139444</v>
      </c>
      <c r="G15" s="195">
        <f t="shared" si="14"/>
        <v>88.446215139442231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2.1</v>
      </c>
      <c r="F16" s="170">
        <f t="shared" si="13"/>
        <v>0.64357952804167962</v>
      </c>
      <c r="G16" s="176">
        <f t="shared" si="14"/>
        <v>87.802635611400547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4.8</v>
      </c>
      <c r="F17" s="170">
        <f t="shared" si="13"/>
        <v>1.4710389212381245</v>
      </c>
      <c r="G17" s="182">
        <f t="shared" si="14"/>
        <v>86.331596690162428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11.4</v>
      </c>
      <c r="F18" s="170">
        <f t="shared" si="13"/>
        <v>3.4937174379405458</v>
      </c>
      <c r="G18" s="182">
        <f t="shared" si="14"/>
        <v>82.837879252221882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39.9</v>
      </c>
      <c r="F19" s="170">
        <f t="shared" si="13"/>
        <v>12.22801103279191</v>
      </c>
      <c r="G19" s="182">
        <f t="shared" si="14"/>
        <v>70.60986821942997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57.4</v>
      </c>
      <c r="F20" s="170">
        <f t="shared" si="13"/>
        <v>17.591173766472572</v>
      </c>
      <c r="G20" s="182">
        <f t="shared" si="14"/>
        <v>53.018694452957398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0.7772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37.5</v>
      </c>
      <c r="F21" s="170">
        <f t="shared" si="13"/>
        <v>11.492491572172849</v>
      </c>
      <c r="G21" s="182">
        <f t="shared" si="14"/>
        <v>41.526202880784552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0.1191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73.599999999999994</v>
      </c>
      <c r="F22" s="170">
        <f t="shared" si="13"/>
        <v>22.555930125651241</v>
      </c>
      <c r="G22" s="182">
        <f t="shared" si="14"/>
        <v>18.970272755133312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6.5256087321578509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35.799999999999997</v>
      </c>
      <c r="F23" s="170">
        <f t="shared" si="13"/>
        <v>10.971498620901011</v>
      </c>
      <c r="G23" s="211">
        <f t="shared" si="14"/>
        <v>7.9987741342323009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11.7</v>
      </c>
      <c r="F24" s="213">
        <f t="shared" si="13"/>
        <v>3.5856573705179287</v>
      </c>
      <c r="G24" s="214">
        <f t="shared" si="14"/>
        <v>4.4131167637143722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1.6948010987999994E-4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14.4</v>
      </c>
      <c r="F25" s="170">
        <f t="shared" si="13"/>
        <v>4.413116763714374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326.29999999999995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0.60000000000002274</v>
      </c>
      <c r="F27" s="310">
        <f>IF((E27/G6*100)&gt;1,"Fehler zu groß",(E27/G6*100))</f>
        <v>0.18354236769655027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1.2061060246799999E-5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1.08E-4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1.3874005493999997E-4</v>
      </c>
      <c r="W36" s="838">
        <v>1.1E-4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8"/>
  <dimension ref="A1:AE36"/>
  <sheetViews>
    <sheetView topLeftCell="H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1032.4000000000001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140.69999999999999</v>
      </c>
      <c r="F13" s="170">
        <f t="shared" si="13"/>
        <v>13.654891304347824</v>
      </c>
      <c r="G13" s="182">
        <f t="shared" si="14"/>
        <v>86.345108695652172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22</v>
      </c>
      <c r="F14" s="170">
        <f t="shared" si="13"/>
        <v>2.1350931677018634</v>
      </c>
      <c r="G14" s="182">
        <f t="shared" si="14"/>
        <v>84.210015527950304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114.6</v>
      </c>
      <c r="F15" s="194">
        <f t="shared" si="13"/>
        <v>11.121894409937887</v>
      </c>
      <c r="G15" s="195">
        <f t="shared" si="14"/>
        <v>73.088121118012424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22.6</v>
      </c>
      <c r="F16" s="170">
        <f t="shared" si="13"/>
        <v>2.1933229813664594</v>
      </c>
      <c r="G16" s="176">
        <f t="shared" si="14"/>
        <v>70.89479813664596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52.9</v>
      </c>
      <c r="F17" s="170">
        <f t="shared" si="13"/>
        <v>5.1339285714285703</v>
      </c>
      <c r="G17" s="182">
        <f t="shared" si="14"/>
        <v>65.760869565217391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120</v>
      </c>
      <c r="F18" s="170">
        <f t="shared" si="13"/>
        <v>11.645962732919253</v>
      </c>
      <c r="G18" s="182">
        <f t="shared" si="14"/>
        <v>54.114906832298139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78.7</v>
      </c>
      <c r="F19" s="170">
        <f t="shared" si="13"/>
        <v>7.6378105590062111</v>
      </c>
      <c r="G19" s="182">
        <f t="shared" si="14"/>
        <v>46.477096273291927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111.1</v>
      </c>
      <c r="F20" s="170">
        <f t="shared" si="13"/>
        <v>10.782220496894409</v>
      </c>
      <c r="G20" s="182">
        <f t="shared" si="14"/>
        <v>35.694875776397517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3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105.5</v>
      </c>
      <c r="F21" s="170">
        <f t="shared" si="13"/>
        <v>10.238742236024843</v>
      </c>
      <c r="G21" s="182">
        <f t="shared" si="14"/>
        <v>25.456133540372676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0.1769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148</v>
      </c>
      <c r="F22" s="170">
        <f t="shared" si="13"/>
        <v>14.363354037267079</v>
      </c>
      <c r="G22" s="182">
        <f t="shared" si="14"/>
        <v>11.092779503105596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16.958733747880157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53.9</v>
      </c>
      <c r="F23" s="170">
        <f t="shared" si="13"/>
        <v>5.2309782608695645</v>
      </c>
      <c r="G23" s="211">
        <f t="shared" si="14"/>
        <v>5.8618012422360319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23</v>
      </c>
      <c r="F24" s="213">
        <f t="shared" si="13"/>
        <v>2.2321428571428568</v>
      </c>
      <c r="G24" s="214">
        <f t="shared" si="14"/>
        <v>3.6296583850931752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3.7389605227999991E-4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37.4</v>
      </c>
      <c r="F25" s="170">
        <f t="shared" si="13"/>
        <v>3.6296583850931672</v>
      </c>
      <c r="G25" s="176">
        <f>G24-F25</f>
        <v>7.9936057773011271E-15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1030.4000000000001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</v>
      </c>
      <c r="F27" s="310">
        <f>IF((E27/G6*100)&gt;1,"Fehler zu groß",(E27/G6*100))</f>
        <v>0.19372336303758231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2.6608330710799996E-5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2.2499999999999999E-4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2.9944802613999995E-4</v>
      </c>
      <c r="W36" s="838">
        <v>2.7750000000000002E-4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9"/>
  <dimension ref="A1:Z56"/>
  <sheetViews>
    <sheetView topLeftCell="R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6.4257812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8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 t="s">
        <v>132</v>
      </c>
      <c r="D3" s="118" t="s">
        <v>25</v>
      </c>
      <c r="E3" s="121">
        <v>39841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77">
        <v>18</v>
      </c>
      <c r="L4" s="135">
        <v>1.0149999999999999</v>
      </c>
      <c r="M4" s="133">
        <f t="shared" ref="M4:M10" si="0">(L4-1)*1000</f>
        <v>14.999999999999902</v>
      </c>
      <c r="N4" s="133">
        <f>M4+$G$33</f>
        <v>16.499999999999847</v>
      </c>
      <c r="O4" s="136">
        <v>-0.35</v>
      </c>
      <c r="P4" s="133">
        <f t="shared" ref="P4:P10" si="1">N4+O4</f>
        <v>16.149999999999846</v>
      </c>
      <c r="Q4" s="320">
        <v>0.08</v>
      </c>
      <c r="R4" s="133">
        <f t="shared" ref="R4:R10" si="2">$F$36*P4</f>
        <v>90.691883873701187</v>
      </c>
      <c r="S4" s="138">
        <f t="shared" ref="S4:S10" si="3">$G$24/100*R4</f>
        <v>14.334828731157803</v>
      </c>
      <c r="T4" s="841">
        <f>(S4/S$13)*S$4</f>
        <v>2.8651916337648293</v>
      </c>
    </row>
    <row r="5" spans="1:23" ht="20.100000000000001" customHeight="1" x14ac:dyDescent="0.2">
      <c r="A5" s="127" t="s">
        <v>27</v>
      </c>
      <c r="B5" s="127"/>
      <c r="C5" s="298" t="s">
        <v>127</v>
      </c>
      <c r="D5" s="299"/>
      <c r="E5" s="139" t="s">
        <v>4</v>
      </c>
      <c r="F5" s="300" t="s">
        <v>128</v>
      </c>
      <c r="G5" s="301"/>
      <c r="I5" s="132"/>
      <c r="J5" s="142">
        <v>1</v>
      </c>
      <c r="K5" s="177">
        <v>18</v>
      </c>
      <c r="L5" s="135">
        <v>1.0135000000000001</v>
      </c>
      <c r="M5" s="133">
        <f t="shared" si="0"/>
        <v>13.500000000000068</v>
      </c>
      <c r="N5" s="133">
        <f t="shared" ref="N5:N12" si="4">M5+$G$33</f>
        <v>15.000000000000014</v>
      </c>
      <c r="O5" s="136">
        <v>-0.35</v>
      </c>
      <c r="P5" s="133">
        <f t="shared" si="1"/>
        <v>14.650000000000015</v>
      </c>
      <c r="Q5" s="320">
        <v>5.5E-2</v>
      </c>
      <c r="R5" s="133">
        <f t="shared" si="2"/>
        <v>82.268489086670996</v>
      </c>
      <c r="S5" s="138">
        <f t="shared" si="3"/>
        <v>13.003420489873935</v>
      </c>
      <c r="T5" s="841">
        <f t="shared" ref="T5:T12" si="5">(S5/S$13)*S$4</f>
        <v>2.5990747637557394</v>
      </c>
    </row>
    <row r="6" spans="1:23" ht="20.100000000000001" customHeight="1" x14ac:dyDescent="0.35">
      <c r="A6" s="143" t="s">
        <v>28</v>
      </c>
      <c r="B6" s="144"/>
      <c r="C6" s="298">
        <v>10</v>
      </c>
      <c r="D6" s="302"/>
      <c r="E6" s="127" t="s">
        <v>41</v>
      </c>
      <c r="F6" s="146"/>
      <c r="G6" s="147">
        <v>604.70000000000005</v>
      </c>
      <c r="I6" s="132"/>
      <c r="J6" s="142">
        <v>2</v>
      </c>
      <c r="K6" s="177">
        <v>18</v>
      </c>
      <c r="L6" s="135">
        <v>1.0115000000000001</v>
      </c>
      <c r="M6" s="133">
        <f t="shared" si="0"/>
        <v>11.500000000000066</v>
      </c>
      <c r="N6" s="133">
        <f t="shared" si="4"/>
        <v>13.000000000000011</v>
      </c>
      <c r="O6" s="136">
        <v>-0.35</v>
      </c>
      <c r="P6" s="133">
        <f t="shared" si="1"/>
        <v>12.650000000000011</v>
      </c>
      <c r="Q6" s="320">
        <v>3.5000000000000003E-2</v>
      </c>
      <c r="R6" s="133">
        <f t="shared" si="2"/>
        <v>71.037296037296102</v>
      </c>
      <c r="S6" s="138">
        <f t="shared" si="3"/>
        <v>11.22820950149524</v>
      </c>
      <c r="T6" s="841">
        <f t="shared" si="5"/>
        <v>2.2442522704102461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77">
        <v>18</v>
      </c>
      <c r="L7" s="135">
        <v>1.0089999999999999</v>
      </c>
      <c r="M7" s="133">
        <f t="shared" si="0"/>
        <v>8.999999999999897</v>
      </c>
      <c r="N7" s="133">
        <f t="shared" si="4"/>
        <v>10.499999999999844</v>
      </c>
      <c r="O7" s="136">
        <v>-0.35</v>
      </c>
      <c r="P7" s="133">
        <f t="shared" si="1"/>
        <v>10.149999999999844</v>
      </c>
      <c r="Q7" s="320">
        <v>0.02</v>
      </c>
      <c r="R7" s="133">
        <f t="shared" si="2"/>
        <v>56.998304725576581</v>
      </c>
      <c r="S7" s="138">
        <f t="shared" si="3"/>
        <v>9.0091957660217261</v>
      </c>
      <c r="T7" s="841">
        <f t="shared" si="5"/>
        <v>1.8007241537283498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77">
        <v>19</v>
      </c>
      <c r="L8" s="135">
        <v>1.0065</v>
      </c>
      <c r="M8" s="133">
        <f t="shared" si="0"/>
        <v>6.4999999999999503</v>
      </c>
      <c r="N8" s="133">
        <f t="shared" si="4"/>
        <v>7.9999999999998961</v>
      </c>
      <c r="O8" s="136">
        <v>-0.2</v>
      </c>
      <c r="P8" s="133">
        <f t="shared" si="1"/>
        <v>7.7999999999998959</v>
      </c>
      <c r="Q8" s="320">
        <v>1.0999999999999999E-2</v>
      </c>
      <c r="R8" s="133">
        <f t="shared" si="2"/>
        <v>43.8016528925614</v>
      </c>
      <c r="S8" s="138">
        <f t="shared" si="3"/>
        <v>6.9233228546768082</v>
      </c>
      <c r="T8" s="841">
        <f t="shared" si="5"/>
        <v>1.3838077240474047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77">
        <v>19.5</v>
      </c>
      <c r="L9" s="135">
        <v>1.0055000000000001</v>
      </c>
      <c r="M9" s="133">
        <f t="shared" si="0"/>
        <v>5.5000000000000604</v>
      </c>
      <c r="N9" s="133">
        <f t="shared" si="4"/>
        <v>7.0000000000000062</v>
      </c>
      <c r="O9" s="136">
        <v>-0.1</v>
      </c>
      <c r="P9" s="133">
        <f t="shared" si="1"/>
        <v>6.9000000000000066</v>
      </c>
      <c r="Q9" s="320">
        <v>5.4999999999999997E-3</v>
      </c>
      <c r="R9" s="133">
        <f t="shared" si="2"/>
        <v>38.74761602034333</v>
      </c>
      <c r="S9" s="138">
        <f t="shared" si="3"/>
        <v>6.1244779099064948</v>
      </c>
      <c r="T9" s="841">
        <f t="shared" si="5"/>
        <v>1.2241376020419525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77">
        <v>20</v>
      </c>
      <c r="L10" s="135">
        <v>1.004</v>
      </c>
      <c r="M10" s="133">
        <f t="shared" si="0"/>
        <v>4.0000000000000036</v>
      </c>
      <c r="N10" s="133">
        <f t="shared" si="4"/>
        <v>5.4999999999999494</v>
      </c>
      <c r="O10" s="165">
        <v>0</v>
      </c>
      <c r="P10" s="133">
        <f t="shared" si="1"/>
        <v>5.4999999999999494</v>
      </c>
      <c r="Q10" s="320">
        <v>3.3E-3</v>
      </c>
      <c r="R10" s="133">
        <f t="shared" si="2"/>
        <v>30.885780885780601</v>
      </c>
      <c r="S10" s="138">
        <f t="shared" si="3"/>
        <v>4.8818302180413591</v>
      </c>
      <c r="T10" s="841">
        <f t="shared" si="5"/>
        <v>0.97576185670009707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f>F41</f>
        <v>0</v>
      </c>
      <c r="E11" s="169">
        <f>D11</f>
        <v>0</v>
      </c>
      <c r="F11" s="170">
        <f t="shared" ref="F11:F25" si="6">E11/$E$26*100</f>
        <v>0</v>
      </c>
      <c r="G11" s="303">
        <v>100</v>
      </c>
      <c r="I11" s="164" t="s">
        <v>94</v>
      </c>
      <c r="J11" s="142">
        <v>360</v>
      </c>
      <c r="K11" s="177">
        <v>22</v>
      </c>
      <c r="L11" s="135">
        <v>1.0029999999999999</v>
      </c>
      <c r="M11" s="133">
        <f>(L11-1)*1000</f>
        <v>2.9999999999998916</v>
      </c>
      <c r="N11" s="133">
        <f t="shared" si="4"/>
        <v>4.4999999999998375</v>
      </c>
      <c r="O11" s="165">
        <v>0.4</v>
      </c>
      <c r="P11" s="133">
        <f>N11+O11</f>
        <v>4.8999999999998378</v>
      </c>
      <c r="Q11" s="320"/>
      <c r="R11" s="133">
        <f>$F$36*P11</f>
        <v>27.516422970967515</v>
      </c>
      <c r="S11" s="138">
        <f>$G$24/100*R11</f>
        <v>4.3492669215276525</v>
      </c>
      <c r="T11" s="841">
        <f t="shared" si="5"/>
        <v>0.86931510869642936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80">
        <f>F42</f>
        <v>0</v>
      </c>
      <c r="E12" s="175">
        <f>D12</f>
        <v>0</v>
      </c>
      <c r="F12" s="170">
        <f t="shared" si="6"/>
        <v>0</v>
      </c>
      <c r="G12" s="176">
        <f t="shared" ref="G12:G24" si="7">G11-F12</f>
        <v>100</v>
      </c>
      <c r="I12" s="183" t="s">
        <v>95</v>
      </c>
      <c r="J12" s="184">
        <v>1440</v>
      </c>
      <c r="K12" s="185">
        <v>22</v>
      </c>
      <c r="L12" s="321">
        <v>1.0002</v>
      </c>
      <c r="M12" s="187">
        <f>(L12-1)*1000</f>
        <v>0.19999999999997797</v>
      </c>
      <c r="N12" s="187">
        <f t="shared" si="4"/>
        <v>1.6999999999999238</v>
      </c>
      <c r="O12" s="188">
        <v>0.4</v>
      </c>
      <c r="P12" s="187">
        <f>N12+O12</f>
        <v>2.0999999999999237</v>
      </c>
      <c r="Q12" s="322"/>
      <c r="R12" s="187">
        <f>$F$36*P12</f>
        <v>11.792752701843183</v>
      </c>
      <c r="S12" s="190">
        <f>$G$24/100*R12</f>
        <v>1.8639715377975592</v>
      </c>
      <c r="T12" s="841">
        <f t="shared" si="5"/>
        <v>0.37256361801275423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f>F43</f>
        <v>0</v>
      </c>
      <c r="E13" s="181">
        <f>D13</f>
        <v>0</v>
      </c>
      <c r="F13" s="170">
        <f t="shared" si="6"/>
        <v>0</v>
      </c>
      <c r="G13" s="182">
        <f t="shared" si="7"/>
        <v>100</v>
      </c>
      <c r="S13" s="116">
        <f>SUM(S4:S12)</f>
        <v>71.718523930498577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f>F44</f>
        <v>0</v>
      </c>
      <c r="E14" s="181">
        <f>D14</f>
        <v>0</v>
      </c>
      <c r="F14" s="170">
        <f t="shared" si="6"/>
        <v>0</v>
      </c>
      <c r="G14" s="182">
        <f t="shared" si="7"/>
        <v>100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323">
        <v>3.3</v>
      </c>
      <c r="E15" s="175">
        <f>D15</f>
        <v>3.3</v>
      </c>
      <c r="F15" s="194">
        <f t="shared" si="6"/>
        <v>0.54789971774863022</v>
      </c>
      <c r="G15" s="195">
        <f t="shared" si="7"/>
        <v>99.452100282251365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f>C16+E47</f>
        <v>630.4</v>
      </c>
      <c r="E16" s="202">
        <f>D16-C16</f>
        <v>0</v>
      </c>
      <c r="F16" s="170">
        <f t="shared" si="6"/>
        <v>0</v>
      </c>
      <c r="G16" s="176">
        <f t="shared" si="7"/>
        <v>99.452100282251365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334">
        <f t="shared" ref="D17:D25" si="8">C17+E48</f>
        <v>519.69999999999993</v>
      </c>
      <c r="E17" s="208">
        <f t="shared" ref="E17:E24" si="9">D17-C17</f>
        <v>0.39999999999997726</v>
      </c>
      <c r="F17" s="170">
        <f t="shared" si="6"/>
        <v>6.64120869998302E-2</v>
      </c>
      <c r="G17" s="182">
        <f t="shared" si="7"/>
        <v>99.385688195251532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334">
        <f t="shared" si="8"/>
        <v>506.7</v>
      </c>
      <c r="E18" s="209">
        <f t="shared" si="9"/>
        <v>0.5</v>
      </c>
      <c r="F18" s="170">
        <f t="shared" si="6"/>
        <v>8.3015108749792468E-2</v>
      </c>
      <c r="G18" s="182">
        <f t="shared" si="7"/>
        <v>99.302673086501741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334">
        <f t="shared" si="8"/>
        <v>385.8</v>
      </c>
      <c r="E19" s="208">
        <f t="shared" si="9"/>
        <v>2</v>
      </c>
      <c r="F19" s="170">
        <f t="shared" si="6"/>
        <v>0.33206043499916987</v>
      </c>
      <c r="G19" s="182">
        <f t="shared" si="7"/>
        <v>98.970612651502577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334">
        <f t="shared" si="8"/>
        <v>409</v>
      </c>
      <c r="E20" s="209">
        <f t="shared" si="9"/>
        <v>32.800000000000011</v>
      </c>
      <c r="F20" s="170">
        <f t="shared" si="6"/>
        <v>5.445791133986388</v>
      </c>
      <c r="G20" s="182">
        <f t="shared" si="7"/>
        <v>93.524821517516187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0.21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334">
        <f t="shared" si="8"/>
        <v>343.8</v>
      </c>
      <c r="E21" s="208">
        <f t="shared" si="9"/>
        <v>13</v>
      </c>
      <c r="F21" s="170">
        <f t="shared" si="6"/>
        <v>2.158392827494604</v>
      </c>
      <c r="G21" s="182">
        <f t="shared" si="7"/>
        <v>91.366428690021579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2.1999999999999999E-2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334">
        <f t="shared" si="8"/>
        <v>547.6</v>
      </c>
      <c r="E22" s="209">
        <f t="shared" si="9"/>
        <v>221.5</v>
      </c>
      <c r="F22" s="170">
        <f t="shared" si="6"/>
        <v>36.775693176158065</v>
      </c>
      <c r="G22" s="182">
        <f t="shared" si="7"/>
        <v>54.590735513863514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9.545454545454545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334">
        <f t="shared" si="8"/>
        <v>475</v>
      </c>
      <c r="E23" s="208">
        <f t="shared" si="9"/>
        <v>170.60000000000002</v>
      </c>
      <c r="F23" s="170">
        <f t="shared" si="6"/>
        <v>28.324755105429194</v>
      </c>
      <c r="G23" s="211">
        <f t="shared" si="7"/>
        <v>26.26598040843432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334">
        <f t="shared" si="8"/>
        <v>376.7</v>
      </c>
      <c r="E24" s="209">
        <f t="shared" si="9"/>
        <v>63</v>
      </c>
      <c r="F24" s="213">
        <f t="shared" si="6"/>
        <v>10.45990370247385</v>
      </c>
      <c r="G24" s="214">
        <f t="shared" si="7"/>
        <v>15.80607670596047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5.7828319999999983E-6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334">
        <f t="shared" si="8"/>
        <v>462.7</v>
      </c>
      <c r="E25" s="218">
        <f>D25-C25</f>
        <v>95.199999999999989</v>
      </c>
      <c r="F25" s="170">
        <f t="shared" si="6"/>
        <v>15.806076705960484</v>
      </c>
      <c r="G25" s="176">
        <f>G24-F25</f>
        <v>-1.4210854715202004E-14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602.29999999999995</v>
      </c>
      <c r="D26" s="324" t="s">
        <v>19</v>
      </c>
      <c r="E26" s="221">
        <f>SUM(E12:E25)</f>
        <v>602.29999999999995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2.4000000000000909</v>
      </c>
      <c r="F27" s="310">
        <f>IF((E27/G6*100)&gt;1,"Fehler zu groß",(E27/G6*100))</f>
        <v>0.39689102034067986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4.1153551999999999E-7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/>
      <c r="X29" s="286" t="s">
        <v>113</v>
      </c>
      <c r="Y29" s="287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333" t="str">
        <f>IF(W21&gt;0.059,"OK","ungültig")</f>
        <v>ungültig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>
        <v>0.5</v>
      </c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129</v>
      </c>
      <c r="B33" s="239"/>
      <c r="C33" s="239"/>
      <c r="D33" s="239"/>
      <c r="E33" s="240"/>
      <c r="F33" s="325">
        <v>0.99850000000000005</v>
      </c>
      <c r="G33" s="326">
        <f>-(F33-1)*1000</f>
        <v>1.4999999999999458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>
        <v>2.65</v>
      </c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>
        <v>28.6</v>
      </c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335</v>
      </c>
      <c r="X35" s="116" t="s">
        <v>336</v>
      </c>
      <c r="Y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>
        <f>100/F35*F34/(F34-1)</f>
        <v>5.615596524687434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(W24)</f>
        <v>5.7828319999999983E-6</v>
      </c>
      <c r="W36" s="839">
        <v>1.041E-5</v>
      </c>
      <c r="X36" s="839"/>
      <c r="Y36" s="839"/>
    </row>
    <row r="39" spans="1:26" x14ac:dyDescent="0.2">
      <c r="D39" s="253" t="s">
        <v>130</v>
      </c>
      <c r="E39" s="253"/>
      <c r="F39" s="253"/>
    </row>
    <row r="40" spans="1:26" x14ac:dyDescent="0.2">
      <c r="D40" s="335"/>
      <c r="E40" s="336"/>
      <c r="F40" s="336"/>
    </row>
    <row r="41" spans="1:26" x14ac:dyDescent="0.2">
      <c r="D41" s="337">
        <v>63</v>
      </c>
      <c r="E41" s="916">
        <v>0</v>
      </c>
      <c r="F41" s="917"/>
    </row>
    <row r="42" spans="1:26" x14ac:dyDescent="0.2">
      <c r="D42" s="337">
        <v>40</v>
      </c>
      <c r="E42" s="916">
        <v>0</v>
      </c>
      <c r="F42" s="917"/>
    </row>
    <row r="43" spans="1:26" x14ac:dyDescent="0.2">
      <c r="D43" s="337">
        <v>20</v>
      </c>
      <c r="E43" s="916">
        <v>0</v>
      </c>
      <c r="F43" s="917"/>
      <c r="J43" s="329"/>
      <c r="K43" s="918"/>
      <c r="L43" s="918"/>
    </row>
    <row r="44" spans="1:26" x14ac:dyDescent="0.2">
      <c r="D44" s="337">
        <v>10</v>
      </c>
      <c r="E44" s="916">
        <v>3.3</v>
      </c>
      <c r="F44" s="917"/>
      <c r="J44" s="329"/>
      <c r="K44" s="918"/>
      <c r="L44" s="918"/>
    </row>
    <row r="45" spans="1:26" x14ac:dyDescent="0.2">
      <c r="D45" s="338"/>
      <c r="E45" s="339"/>
      <c r="F45" s="339"/>
      <c r="J45" s="329"/>
      <c r="K45" s="918"/>
      <c r="L45" s="918"/>
    </row>
    <row r="46" spans="1:26" x14ac:dyDescent="0.2">
      <c r="D46" s="340"/>
      <c r="E46" s="336"/>
      <c r="F46" s="336"/>
      <c r="J46" s="329"/>
      <c r="K46" s="918"/>
      <c r="L46" s="918"/>
    </row>
    <row r="47" spans="1:26" x14ac:dyDescent="0.2">
      <c r="D47" s="341">
        <v>6.3</v>
      </c>
      <c r="E47" s="916">
        <v>0</v>
      </c>
      <c r="F47" s="917"/>
      <c r="J47" s="329"/>
      <c r="K47" s="918"/>
      <c r="L47" s="918"/>
    </row>
    <row r="48" spans="1:26" x14ac:dyDescent="0.2">
      <c r="D48" s="341">
        <v>4</v>
      </c>
      <c r="E48" s="916">
        <v>0.4</v>
      </c>
      <c r="F48" s="917"/>
      <c r="J48" s="329"/>
      <c r="K48" s="918"/>
      <c r="L48" s="918"/>
    </row>
    <row r="49" spans="4:12" x14ac:dyDescent="0.2">
      <c r="D49" s="341">
        <v>2</v>
      </c>
      <c r="E49" s="916">
        <v>0.5</v>
      </c>
      <c r="F49" s="917"/>
      <c r="J49" s="329"/>
      <c r="K49" s="918"/>
      <c r="L49" s="918"/>
    </row>
    <row r="50" spans="4:12" x14ac:dyDescent="0.2">
      <c r="D50" s="341">
        <v>1</v>
      </c>
      <c r="E50" s="916">
        <v>2</v>
      </c>
      <c r="F50" s="917"/>
      <c r="J50" s="329"/>
      <c r="K50" s="918"/>
      <c r="L50" s="918"/>
    </row>
    <row r="51" spans="4:12" x14ac:dyDescent="0.2">
      <c r="D51" s="341">
        <v>0.63</v>
      </c>
      <c r="E51" s="916">
        <v>32.799999999999997</v>
      </c>
      <c r="F51" s="917"/>
      <c r="J51" s="331"/>
      <c r="K51" s="918"/>
      <c r="L51" s="918"/>
    </row>
    <row r="52" spans="4:12" x14ac:dyDescent="0.2">
      <c r="D52" s="341">
        <v>0.4</v>
      </c>
      <c r="E52" s="916">
        <v>13</v>
      </c>
      <c r="F52" s="917"/>
      <c r="J52" s="332"/>
      <c r="K52" s="918"/>
      <c r="L52" s="918"/>
    </row>
    <row r="53" spans="4:12" x14ac:dyDescent="0.2">
      <c r="D53" s="341">
        <v>0.2</v>
      </c>
      <c r="E53" s="916">
        <v>221.5</v>
      </c>
      <c r="F53" s="917"/>
    </row>
    <row r="54" spans="4:12" x14ac:dyDescent="0.2">
      <c r="D54" s="341">
        <v>0.1</v>
      </c>
      <c r="E54" s="916">
        <v>170.6</v>
      </c>
      <c r="F54" s="917"/>
    </row>
    <row r="55" spans="4:12" x14ac:dyDescent="0.2">
      <c r="D55" s="342">
        <v>6.3E-2</v>
      </c>
      <c r="E55" s="916">
        <v>63</v>
      </c>
      <c r="F55" s="917"/>
    </row>
    <row r="56" spans="4:12" x14ac:dyDescent="0.2">
      <c r="D56" s="343" t="s">
        <v>131</v>
      </c>
      <c r="E56" s="916">
        <v>95.2</v>
      </c>
      <c r="F56" s="917"/>
    </row>
  </sheetData>
  <sheetProtection selectLockedCells="1"/>
  <protectedRanges>
    <protectedRange password="C4F2" sqref="E3:E4 C3:C6 D5:D6 G3:G6 F5 D11:D25" name="Bereich1"/>
    <protectedRange password="C4F2" sqref="K4:L12" name="Bereich1_1"/>
    <protectedRange password="C4F2" sqref="O4:O12" name="Bereich1_2"/>
    <protectedRange password="C4F2" sqref="Q4:Q10" name="Bereich1_3"/>
    <protectedRange password="C4F2" sqref="F32:F35" name="Bereich1_4"/>
  </protectedRanges>
  <mergeCells count="42">
    <mergeCell ref="E53:F53"/>
    <mergeCell ref="E54:F54"/>
    <mergeCell ref="E55:F55"/>
    <mergeCell ref="E56:F56"/>
    <mergeCell ref="E50:F50"/>
    <mergeCell ref="K50:L50"/>
    <mergeCell ref="E51:F51"/>
    <mergeCell ref="K51:L51"/>
    <mergeCell ref="E52:F52"/>
    <mergeCell ref="K52:L52"/>
    <mergeCell ref="E49:F49"/>
    <mergeCell ref="K49:L49"/>
    <mergeCell ref="E42:F42"/>
    <mergeCell ref="E43:F43"/>
    <mergeCell ref="K43:L43"/>
    <mergeCell ref="E44:F44"/>
    <mergeCell ref="K44:L44"/>
    <mergeCell ref="K45:L45"/>
    <mergeCell ref="K46:L46"/>
    <mergeCell ref="E47:F47"/>
    <mergeCell ref="K47:L47"/>
    <mergeCell ref="E48:F48"/>
    <mergeCell ref="K48:L48"/>
    <mergeCell ref="A11:A15"/>
    <mergeCell ref="A16:A24"/>
    <mergeCell ref="A26:B26"/>
    <mergeCell ref="A27:B27"/>
    <mergeCell ref="A29:G29"/>
    <mergeCell ref="E41:F41"/>
    <mergeCell ref="O1:O2"/>
    <mergeCell ref="P1:P2"/>
    <mergeCell ref="Q1:Q2"/>
    <mergeCell ref="R1:R2"/>
    <mergeCell ref="S1:S2"/>
    <mergeCell ref="E8:F8"/>
    <mergeCell ref="G8:G9"/>
    <mergeCell ref="A1:G1"/>
    <mergeCell ref="I1:J2"/>
    <mergeCell ref="K1:K2"/>
    <mergeCell ref="L1:L2"/>
    <mergeCell ref="M1:M2"/>
    <mergeCell ref="N1:N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0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35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307.8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17.7</v>
      </c>
      <c r="F14" s="170">
        <f t="shared" si="13"/>
        <v>5.7598438008460784</v>
      </c>
      <c r="G14" s="182">
        <f t="shared" si="14"/>
        <v>94.240156199153915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1.9</v>
      </c>
      <c r="F15" s="194">
        <f t="shared" si="13"/>
        <v>0.61828831760494629</v>
      </c>
      <c r="G15" s="195">
        <f t="shared" si="14"/>
        <v>93.621867881548965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0</v>
      </c>
      <c r="F16" s="170">
        <f t="shared" si="13"/>
        <v>0</v>
      </c>
      <c r="G16" s="176">
        <f t="shared" si="14"/>
        <v>93.621867881548965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2.2999999999999998</v>
      </c>
      <c r="F17" s="170">
        <f t="shared" si="13"/>
        <v>0.7484542792059875</v>
      </c>
      <c r="G17" s="182">
        <f t="shared" si="14"/>
        <v>92.873413602342978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6.2</v>
      </c>
      <c r="F18" s="170">
        <f t="shared" si="13"/>
        <v>2.0175724048161405</v>
      </c>
      <c r="G18" s="182">
        <f t="shared" si="14"/>
        <v>90.855841197526843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29.7</v>
      </c>
      <c r="F19" s="170">
        <f t="shared" si="13"/>
        <v>9.6648226488773172</v>
      </c>
      <c r="G19" s="182">
        <f t="shared" si="14"/>
        <v>81.191018548649524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67.5</v>
      </c>
      <c r="F20" s="170">
        <f t="shared" si="13"/>
        <v>21.965506020175724</v>
      </c>
      <c r="G20" s="182">
        <f t="shared" si="14"/>
        <v>59.2255125284738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0.64349999999999996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36.4</v>
      </c>
      <c r="F21" s="170">
        <f t="shared" si="13"/>
        <v>11.84510250569476</v>
      </c>
      <c r="G21" s="182">
        <f t="shared" si="14"/>
        <v>47.380410022779039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0.21890000000000001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127</v>
      </c>
      <c r="F22" s="170">
        <f t="shared" si="13"/>
        <v>41.327692808330617</v>
      </c>
      <c r="G22" s="182">
        <f t="shared" si="14"/>
        <v>6.0527172144484211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2.9396984924623113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9.9</v>
      </c>
      <c r="F23" s="170">
        <f t="shared" si="13"/>
        <v>3.2216075496257726</v>
      </c>
      <c r="G23" s="211">
        <f t="shared" si="14"/>
        <v>2.8311096648226486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3.6</v>
      </c>
      <c r="F24" s="213">
        <f t="shared" si="13"/>
        <v>1.1714936544093719</v>
      </c>
      <c r="G24" s="214">
        <f t="shared" si="14"/>
        <v>1.6596160104132767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5.7251482507999986E-4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5.0999999999999996</v>
      </c>
      <c r="F25" s="170">
        <f t="shared" si="13"/>
        <v>1.6596160104132767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307.8</v>
      </c>
      <c r="D26" s="735" t="s">
        <v>19</v>
      </c>
      <c r="E26" s="221">
        <f>SUM(E12:E25)</f>
        <v>307.3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1.3899999999999999E-2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0.5</v>
      </c>
      <c r="F27" s="310">
        <f>IF((E27/G6*100)&gt;1,"Fehler zu groß",(E27/G6*100))</f>
        <v>0.16244314489928524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4.8821407752699995E-4</v>
      </c>
      <c r="X27" s="836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4.2499999999999998E-4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(W24+W27+Y29)/3</f>
        <v>4.9524296753566662E-4</v>
      </c>
      <c r="W36" s="838">
        <v>4.6250000000000002E-4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1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36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720.7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9.1</v>
      </c>
      <c r="F15" s="194">
        <f t="shared" si="13"/>
        <v>1.2741528983478017</v>
      </c>
      <c r="G15" s="195">
        <f t="shared" si="14"/>
        <v>98.725847101652192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</v>
      </c>
      <c r="F16" s="170">
        <f t="shared" si="13"/>
        <v>0.14001680201624195</v>
      </c>
      <c r="G16" s="176">
        <f t="shared" si="14"/>
        <v>98.585830299635944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35.1</v>
      </c>
      <c r="F17" s="170">
        <f t="shared" si="13"/>
        <v>4.9145897507700926</v>
      </c>
      <c r="G17" s="182">
        <f t="shared" si="14"/>
        <v>93.671240548865853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40.5</v>
      </c>
      <c r="F18" s="170">
        <f t="shared" si="13"/>
        <v>5.6706804816577989</v>
      </c>
      <c r="G18" s="182">
        <f t="shared" si="14"/>
        <v>88.000560067208056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135.9</v>
      </c>
      <c r="F19" s="170">
        <f t="shared" si="13"/>
        <v>19.028283394007282</v>
      </c>
      <c r="G19" s="182">
        <f t="shared" si="14"/>
        <v>68.972276673200781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63.4</v>
      </c>
      <c r="F20" s="170">
        <f t="shared" si="13"/>
        <v>8.8770652478297389</v>
      </c>
      <c r="G20" s="182">
        <f t="shared" si="14"/>
        <v>60.095211425371041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0.62590000000000001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40.1</v>
      </c>
      <c r="F21" s="170">
        <f t="shared" si="13"/>
        <v>5.6146737608513018</v>
      </c>
      <c r="G21" s="182">
        <f t="shared" si="14"/>
        <v>54.480537664519737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8.3199999999999996E-2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160.6</v>
      </c>
      <c r="F22" s="170">
        <f t="shared" si="13"/>
        <v>22.486698403808454</v>
      </c>
      <c r="G22" s="182">
        <f t="shared" si="14"/>
        <v>31.993839260711283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7.5228365384615392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136.5</v>
      </c>
      <c r="F23" s="170">
        <f t="shared" si="13"/>
        <v>19.112293475217022</v>
      </c>
      <c r="G23" s="211">
        <f t="shared" si="14"/>
        <v>12.881545785494261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46</v>
      </c>
      <c r="F24" s="213">
        <f t="shared" si="13"/>
        <v>6.4407728927471295</v>
      </c>
      <c r="G24" s="214">
        <f t="shared" si="14"/>
        <v>6.4407728927471313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8.2706923519999979E-5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46</v>
      </c>
      <c r="F25" s="170">
        <f t="shared" si="13"/>
        <v>6.4407728927471295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714.2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6.5</v>
      </c>
      <c r="F27" s="310">
        <f>IF((E27/G6*100)&gt;1,"Fehler zu groß",(E27/G6*100))</f>
        <v>0.90190092965172741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5.8858422272000002E-6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5.1E-5</v>
      </c>
      <c r="X29" s="794" t="s">
        <v>113</v>
      </c>
      <c r="Y29" s="795">
        <v>5.1999999999999997E-5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6.7353461759999992E-5</v>
      </c>
      <c r="W36" s="838">
        <v>4.6529999999999997E-5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2"/>
  <dimension ref="A1:AE36"/>
  <sheetViews>
    <sheetView topLeftCell="D17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37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457.08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0</v>
      </c>
      <c r="F15" s="194">
        <f t="shared" si="13"/>
        <v>0</v>
      </c>
      <c r="G15" s="195">
        <f t="shared" si="14"/>
        <v>100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6.8</v>
      </c>
      <c r="F16" s="170">
        <f t="shared" si="13"/>
        <v>1.4879649890590809</v>
      </c>
      <c r="G16" s="176">
        <f t="shared" si="14"/>
        <v>98.51203501094092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4.2</v>
      </c>
      <c r="F17" s="170">
        <f t="shared" si="13"/>
        <v>0.91903719912472659</v>
      </c>
      <c r="G17" s="182">
        <f t="shared" si="14"/>
        <v>97.59299781181619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8.1</v>
      </c>
      <c r="F18" s="170">
        <f t="shared" si="13"/>
        <v>1.7724288840262583</v>
      </c>
      <c r="G18" s="182">
        <f t="shared" si="14"/>
        <v>95.820568927789935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39.1</v>
      </c>
      <c r="F19" s="170">
        <f t="shared" si="13"/>
        <v>8.555798687089716</v>
      </c>
      <c r="G19" s="182">
        <f t="shared" si="14"/>
        <v>87.264770240700216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1.9</v>
      </c>
      <c r="F20" s="170">
        <f t="shared" si="13"/>
        <v>0.41575492341356673</v>
      </c>
      <c r="G20" s="182">
        <f t="shared" si="14"/>
        <v>86.849015317286643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0.26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12.7</v>
      </c>
      <c r="F21" s="170">
        <f t="shared" si="13"/>
        <v>2.7789934354485775</v>
      </c>
      <c r="G21" s="182">
        <f t="shared" si="14"/>
        <v>84.070021881838059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6.8000000000000005E-2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200.6</v>
      </c>
      <c r="F22" s="170">
        <f t="shared" si="13"/>
        <v>43.89496717724289</v>
      </c>
      <c r="G22" s="182">
        <f t="shared" si="14"/>
        <v>40.175054704595169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3.8235294117647056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102.1</v>
      </c>
      <c r="F23" s="170">
        <f t="shared" si="13"/>
        <v>22.341356673960611</v>
      </c>
      <c r="G23" s="211">
        <f t="shared" si="14"/>
        <v>17.833698030634558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42.8</v>
      </c>
      <c r="F24" s="213">
        <f t="shared" si="13"/>
        <v>9.3654266958424515</v>
      </c>
      <c r="G24" s="214">
        <f t="shared" si="14"/>
        <v>8.4682713347921066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5.5247551999999991E-5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38.700000000000003</v>
      </c>
      <c r="F25" s="170">
        <f t="shared" si="13"/>
        <v>8.4682713347921226</v>
      </c>
      <c r="G25" s="176">
        <f>G24-F25</f>
        <v>-1.5987211554602254E-14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457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4.5999999999999999E-3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7.9999999999984084E-2</v>
      </c>
      <c r="F27" s="310">
        <f>IF((E27/G6*100)&gt;1,"Fehler zu groß",(E27/G6*100))</f>
        <v>1.7502406580901395E-2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1.5591203200000002E-5</v>
      </c>
      <c r="X27" s="836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4.3000000000000002E-5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335</v>
      </c>
      <c r="X35" s="530" t="s">
        <v>333</v>
      </c>
      <c r="Y35" s="530" t="s">
        <v>336</v>
      </c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(W24+Y29+W27)/3</f>
        <v>3.7946251733333335E-5</v>
      </c>
      <c r="W36" s="838">
        <v>2.4749999999999999E-5</v>
      </c>
      <c r="X36" s="838">
        <v>2.711E-5</v>
      </c>
      <c r="Y36" s="838">
        <v>2.2399999999999999E-5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3"/>
  <dimension ref="A1:AE47"/>
  <sheetViews>
    <sheetView topLeftCell="T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38</v>
      </c>
      <c r="D3" s="385" t="s">
        <v>25</v>
      </c>
      <c r="E3" s="387">
        <v>39753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39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164</v>
      </c>
      <c r="F4" s="404"/>
      <c r="G4" s="405"/>
      <c r="H4" s="371"/>
      <c r="I4" s="406">
        <f>J4*60</f>
        <v>30</v>
      </c>
      <c r="J4" s="407">
        <v>0.5</v>
      </c>
      <c r="K4" s="408">
        <v>18</v>
      </c>
      <c r="L4" s="409">
        <v>1.0109999999999999</v>
      </c>
      <c r="M4" s="407">
        <f t="shared" ref="M4:M10" si="0">(L4-1)*1000</f>
        <v>10.999999999999899</v>
      </c>
      <c r="N4" s="407">
        <f>M4+$G$33</f>
        <v>12.499999999999844</v>
      </c>
      <c r="O4" s="410">
        <v>-0.35</v>
      </c>
      <c r="P4" s="411">
        <f t="shared" ref="P4:P10" si="1">N4+O4</f>
        <v>12.149999999999844</v>
      </c>
      <c r="Q4" s="412">
        <f>((18.35*V4/($F$34-W4))*Z4)^0.5</f>
        <v>7.8016889210101817E-2</v>
      </c>
      <c r="R4" s="407">
        <f t="shared" ref="R4:R10" si="2">$F$36*P4</f>
        <v>96.126287505596608</v>
      </c>
      <c r="S4" s="413">
        <f t="shared" ref="S4:S10" si="3">$G$24/100*R4</f>
        <v>11.895024270478968</v>
      </c>
      <c r="T4" s="831">
        <f>(S4/S$13)*S$4</f>
        <v>2.2285974539139501</v>
      </c>
      <c r="U4" s="414">
        <f>1+0.001*N4</f>
        <v>1.0124999999999997</v>
      </c>
      <c r="V4" s="415">
        <f>0.00178/(1+0.0337*K4+0.00022*K4^2)</f>
        <v>1.0608625169857199E-3</v>
      </c>
      <c r="W4" s="414">
        <f>1/(1+((2.31*K4-2)^2-182)*0.00001)</f>
        <v>0.98634332312503503</v>
      </c>
      <c r="X4" s="416">
        <f>4142.8*(1.03-U4)/10</f>
        <v>7.2499000000001219</v>
      </c>
      <c r="Y4" s="417">
        <f t="shared" ref="Y4:Y12" si="4">X4+$AB$5+0.5*($AC$5-$AD$5/$AE$5)</f>
        <v>15.605117665612399</v>
      </c>
      <c r="Z4" s="418">
        <f t="shared" ref="Z4:Z12" si="5">Y4/I4</f>
        <v>0.52017058885374667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>
        <v>18</v>
      </c>
      <c r="L5" s="409">
        <v>1.01</v>
      </c>
      <c r="M5" s="407">
        <f t="shared" si="0"/>
        <v>10.000000000000009</v>
      </c>
      <c r="N5" s="407">
        <f t="shared" ref="N5:N12" si="6">M5+$G$33</f>
        <v>11.499999999999954</v>
      </c>
      <c r="O5" s="410">
        <v>-0.35</v>
      </c>
      <c r="P5" s="411">
        <f t="shared" si="1"/>
        <v>11.149999999999954</v>
      </c>
      <c r="Q5" s="412">
        <f t="shared" ref="Q5:Q12" si="7">((18.35*V5/($F$34-W5))*Z5)^0.5</f>
        <v>5.5893743697247249E-2</v>
      </c>
      <c r="R5" s="407">
        <f t="shared" si="2"/>
        <v>88.214658904313708</v>
      </c>
      <c r="S5" s="413">
        <f t="shared" si="3"/>
        <v>10.916009927229766</v>
      </c>
      <c r="T5" s="831">
        <f t="shared" ref="T5:T12" si="8">(S5/S$13)*S$4</f>
        <v>2.0451737951556184</v>
      </c>
      <c r="U5" s="414">
        <f t="shared" ref="U5:U12" si="9">1+0.001*N5</f>
        <v>1.0114999999999998</v>
      </c>
      <c r="V5" s="415">
        <f t="shared" ref="V5:V12" si="10">0.00178/(1+0.0337*K5+0.00022*K5^2)</f>
        <v>1.0608625169857199E-3</v>
      </c>
      <c r="W5" s="414">
        <f t="shared" ref="W5:W12" si="11">1/(1+((2.31*K5-2)^2-182)*0.00001)</f>
        <v>0.98634332312503503</v>
      </c>
      <c r="X5" s="416">
        <f t="shared" ref="X5:X12" si="12">4142.8*(1.03-U5)/10</f>
        <v>7.6641800000000755</v>
      </c>
      <c r="Y5" s="417">
        <f t="shared" si="4"/>
        <v>16.019397665612352</v>
      </c>
      <c r="Z5" s="418">
        <f t="shared" si="5"/>
        <v>0.26698996109353923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160</v>
      </c>
      <c r="I6" s="406">
        <f t="shared" ref="I6:I12" si="13">J6*60</f>
        <v>120</v>
      </c>
      <c r="J6" s="426">
        <v>2</v>
      </c>
      <c r="K6" s="408">
        <v>18</v>
      </c>
      <c r="L6" s="409">
        <v>1.0085</v>
      </c>
      <c r="M6" s="407">
        <f t="shared" si="0"/>
        <v>8.499999999999952</v>
      </c>
      <c r="N6" s="407">
        <f t="shared" si="6"/>
        <v>9.999999999999897</v>
      </c>
      <c r="O6" s="410">
        <v>-0.35</v>
      </c>
      <c r="P6" s="411">
        <f t="shared" si="1"/>
        <v>9.6499999999998973</v>
      </c>
      <c r="Q6" s="412">
        <f t="shared" si="7"/>
        <v>4.0282131334612607E-2</v>
      </c>
      <c r="R6" s="407">
        <f t="shared" si="2"/>
        <v>76.347216002387597</v>
      </c>
      <c r="S6" s="413">
        <f t="shared" si="3"/>
        <v>9.4474884123557441</v>
      </c>
      <c r="T6" s="831">
        <f t="shared" si="8"/>
        <v>1.7700383070180796</v>
      </c>
      <c r="U6" s="414">
        <f t="shared" si="9"/>
        <v>1.0099999999999998</v>
      </c>
      <c r="V6" s="415">
        <f t="shared" si="10"/>
        <v>1.0608625169857199E-3</v>
      </c>
      <c r="W6" s="414">
        <f t="shared" si="11"/>
        <v>0.98634332312503503</v>
      </c>
      <c r="X6" s="416">
        <f t="shared" si="12"/>
        <v>8.2856000000001</v>
      </c>
      <c r="Y6" s="417">
        <f t="shared" si="4"/>
        <v>16.640817665612374</v>
      </c>
      <c r="Z6" s="418">
        <f t="shared" si="5"/>
        <v>0.13867348054676978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39">
        <v>18</v>
      </c>
      <c r="L7" s="409">
        <v>1.0065</v>
      </c>
      <c r="M7" s="407">
        <f t="shared" si="0"/>
        <v>6.4999999999999503</v>
      </c>
      <c r="N7" s="407">
        <f t="shared" si="6"/>
        <v>7.9999999999998961</v>
      </c>
      <c r="O7" s="410">
        <v>-0.35</v>
      </c>
      <c r="P7" s="411">
        <f t="shared" si="1"/>
        <v>7.6499999999998964</v>
      </c>
      <c r="Q7" s="412">
        <f t="shared" si="7"/>
        <v>2.6103204311669442E-2</v>
      </c>
      <c r="R7" s="407">
        <f t="shared" si="2"/>
        <v>60.523958799820043</v>
      </c>
      <c r="S7" s="413">
        <f t="shared" si="3"/>
        <v>7.4894597258571229</v>
      </c>
      <c r="T7" s="831">
        <f t="shared" si="8"/>
        <v>1.4031909895013752</v>
      </c>
      <c r="U7" s="414">
        <f t="shared" si="9"/>
        <v>1.008</v>
      </c>
      <c r="V7" s="415">
        <f t="shared" si="10"/>
        <v>1.0608625169857199E-3</v>
      </c>
      <c r="W7" s="414">
        <f t="shared" si="11"/>
        <v>0.98634332312503503</v>
      </c>
      <c r="X7" s="416">
        <f t="shared" si="12"/>
        <v>9.1141600000000089</v>
      </c>
      <c r="Y7" s="417">
        <f t="shared" si="4"/>
        <v>17.469377665612285</v>
      </c>
      <c r="Z7" s="418">
        <f t="shared" si="5"/>
        <v>5.8231258885374282E-2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39">
        <v>18</v>
      </c>
      <c r="L8" s="409">
        <v>1.0049999999999999</v>
      </c>
      <c r="M8" s="407">
        <f t="shared" si="0"/>
        <v>4.9999999999998934</v>
      </c>
      <c r="N8" s="407">
        <f t="shared" si="6"/>
        <v>6.4999999999998392</v>
      </c>
      <c r="O8" s="410">
        <v>-0.35</v>
      </c>
      <c r="P8" s="411">
        <f t="shared" si="1"/>
        <v>6.1499999999998396</v>
      </c>
      <c r="Q8" s="412">
        <f t="shared" si="7"/>
        <v>1.5336396799570584E-2</v>
      </c>
      <c r="R8" s="407">
        <f t="shared" si="2"/>
        <v>48.656515897893939</v>
      </c>
      <c r="S8" s="413">
        <f t="shared" si="3"/>
        <v>6.0209382109831022</v>
      </c>
      <c r="T8" s="831">
        <f t="shared" si="8"/>
        <v>1.1280555013638365</v>
      </c>
      <c r="U8" s="414">
        <f t="shared" si="9"/>
        <v>1.0065</v>
      </c>
      <c r="V8" s="415">
        <f t="shared" si="10"/>
        <v>1.0608625169857199E-3</v>
      </c>
      <c r="W8" s="414">
        <f t="shared" si="11"/>
        <v>0.98634332312503503</v>
      </c>
      <c r="X8" s="416">
        <f t="shared" si="12"/>
        <v>9.7355800000000308</v>
      </c>
      <c r="Y8" s="417">
        <f t="shared" si="4"/>
        <v>18.090797665612307</v>
      </c>
      <c r="Z8" s="418">
        <f t="shared" si="5"/>
        <v>2.0100886295124784E-2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39">
        <v>18</v>
      </c>
      <c r="L9" s="409">
        <v>1.004</v>
      </c>
      <c r="M9" s="407">
        <f t="shared" si="0"/>
        <v>4.0000000000000036</v>
      </c>
      <c r="N9" s="407">
        <f t="shared" si="6"/>
        <v>5.4999999999999494</v>
      </c>
      <c r="O9" s="410">
        <v>-0.35</v>
      </c>
      <c r="P9" s="411">
        <f t="shared" si="1"/>
        <v>5.1499999999999497</v>
      </c>
      <c r="Q9" s="412">
        <f t="shared" si="7"/>
        <v>8.9552828423489165E-3</v>
      </c>
      <c r="R9" s="407">
        <f t="shared" si="2"/>
        <v>40.744887296611033</v>
      </c>
      <c r="S9" s="413">
        <f t="shared" si="3"/>
        <v>5.0419238677338996</v>
      </c>
      <c r="T9" s="831">
        <f t="shared" si="8"/>
        <v>0.94463184260550459</v>
      </c>
      <c r="U9" s="414">
        <f t="shared" si="9"/>
        <v>1.0055000000000001</v>
      </c>
      <c r="V9" s="415">
        <f t="shared" si="10"/>
        <v>1.0608625169857199E-3</v>
      </c>
      <c r="W9" s="414">
        <f t="shared" si="11"/>
        <v>0.98634332312503503</v>
      </c>
      <c r="X9" s="416">
        <f t="shared" si="12"/>
        <v>10.149859999999986</v>
      </c>
      <c r="Y9" s="417">
        <f t="shared" si="4"/>
        <v>18.505077665612262</v>
      </c>
      <c r="Z9" s="418">
        <f t="shared" si="5"/>
        <v>6.8537324687452826E-3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39">
        <v>18</v>
      </c>
      <c r="L10" s="409">
        <v>1.004</v>
      </c>
      <c r="M10" s="407">
        <f t="shared" si="0"/>
        <v>4.0000000000000036</v>
      </c>
      <c r="N10" s="407">
        <f t="shared" si="6"/>
        <v>5.4999999999999494</v>
      </c>
      <c r="O10" s="410">
        <v>-0.35</v>
      </c>
      <c r="P10" s="411">
        <f t="shared" si="1"/>
        <v>5.1499999999999497</v>
      </c>
      <c r="Q10" s="412">
        <f t="shared" si="7"/>
        <v>5.4839683665139629E-3</v>
      </c>
      <c r="R10" s="407">
        <f t="shared" si="2"/>
        <v>40.744887296611033</v>
      </c>
      <c r="S10" s="413">
        <f t="shared" si="3"/>
        <v>5.0419238677338996</v>
      </c>
      <c r="T10" s="831">
        <f t="shared" si="8"/>
        <v>0.94463184260550459</v>
      </c>
      <c r="U10" s="414">
        <f t="shared" si="9"/>
        <v>1.0055000000000001</v>
      </c>
      <c r="V10" s="415">
        <f t="shared" si="10"/>
        <v>1.0608625169857199E-3</v>
      </c>
      <c r="W10" s="414">
        <f t="shared" si="11"/>
        <v>0.98634332312503503</v>
      </c>
      <c r="X10" s="416">
        <f t="shared" si="12"/>
        <v>10.149859999999986</v>
      </c>
      <c r="Y10" s="417">
        <f t="shared" si="4"/>
        <v>18.505077665612262</v>
      </c>
      <c r="Z10" s="418">
        <f t="shared" si="5"/>
        <v>2.5701496757794809E-3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/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439">
        <v>18</v>
      </c>
      <c r="L11" s="409">
        <v>1.0029999999999999</v>
      </c>
      <c r="M11" s="407">
        <f>(L11-1)*1000</f>
        <v>2.9999999999998916</v>
      </c>
      <c r="N11" s="407">
        <f t="shared" si="6"/>
        <v>4.4999999999998375</v>
      </c>
      <c r="O11" s="410">
        <v>-0.35</v>
      </c>
      <c r="P11" s="411">
        <f>N11+O11</f>
        <v>4.1499999999998378</v>
      </c>
      <c r="Q11" s="412">
        <f t="shared" si="7"/>
        <v>3.2014155588123358E-3</v>
      </c>
      <c r="R11" s="407">
        <f>$F$36*P11</f>
        <v>32.833258695326379</v>
      </c>
      <c r="S11" s="413">
        <f>$G$24/100*R11</f>
        <v>4.0629095244844802</v>
      </c>
      <c r="T11" s="831">
        <f t="shared" si="8"/>
        <v>0.76120818384713185</v>
      </c>
      <c r="U11" s="414">
        <f t="shared" si="9"/>
        <v>1.0044999999999997</v>
      </c>
      <c r="V11" s="415">
        <f t="shared" si="10"/>
        <v>1.0608625169857199E-3</v>
      </c>
      <c r="W11" s="414">
        <f t="shared" si="11"/>
        <v>0.98634332312503503</v>
      </c>
      <c r="X11" s="416">
        <f t="shared" si="12"/>
        <v>10.564140000000126</v>
      </c>
      <c r="Y11" s="417">
        <f t="shared" si="4"/>
        <v>18.919357665612402</v>
      </c>
      <c r="Z11" s="418">
        <f t="shared" si="5"/>
        <v>8.7589618822279643E-4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/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439">
        <v>18</v>
      </c>
      <c r="L12" s="466">
        <v>1.0024999999999999</v>
      </c>
      <c r="M12" s="467">
        <f>(L12-1)*1000</f>
        <v>2.4999999999999467</v>
      </c>
      <c r="N12" s="467">
        <f t="shared" si="6"/>
        <v>3.9999999999998925</v>
      </c>
      <c r="O12" s="410">
        <v>-0.35</v>
      </c>
      <c r="P12" s="468">
        <f>N12+O12</f>
        <v>3.6499999999998924</v>
      </c>
      <c r="Q12" s="469">
        <f t="shared" si="7"/>
        <v>1.6094466592709855E-3</v>
      </c>
      <c r="R12" s="467">
        <f>$F$36*P12</f>
        <v>28.877444394684922</v>
      </c>
      <c r="S12" s="470">
        <f>$G$24/100*R12</f>
        <v>3.573402352859878</v>
      </c>
      <c r="T12" s="831">
        <f t="shared" si="8"/>
        <v>0.66949635446796585</v>
      </c>
      <c r="U12" s="414">
        <f t="shared" si="9"/>
        <v>1.004</v>
      </c>
      <c r="V12" s="415">
        <f t="shared" si="10"/>
        <v>1.0608625169857199E-3</v>
      </c>
      <c r="W12" s="414">
        <f t="shared" si="11"/>
        <v>0.98634332312503503</v>
      </c>
      <c r="X12" s="416">
        <f t="shared" si="12"/>
        <v>10.77128000000001</v>
      </c>
      <c r="Y12" s="417">
        <f t="shared" si="4"/>
        <v>19.126497665612284</v>
      </c>
      <c r="Z12" s="418">
        <f t="shared" si="5"/>
        <v>2.2137150075940144E-4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/>
      <c r="E13" s="474">
        <f>D13</f>
        <v>0</v>
      </c>
      <c r="F13" s="457">
        <f t="shared" si="14"/>
        <v>0</v>
      </c>
      <c r="G13" s="475">
        <f t="shared" si="15"/>
        <v>100</v>
      </c>
      <c r="S13" s="372">
        <f>SUM(S4:S12)</f>
        <v>63.48908015971687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/>
      <c r="E14" s="474">
        <f>D14</f>
        <v>0</v>
      </c>
      <c r="F14" s="457">
        <f t="shared" si="14"/>
        <v>0</v>
      </c>
      <c r="G14" s="475">
        <f t="shared" si="15"/>
        <v>100</v>
      </c>
      <c r="U14" s="530"/>
      <c r="V14" s="530"/>
      <c r="W14" s="531"/>
      <c r="X14" s="481"/>
      <c r="Y14" s="481"/>
      <c r="Z14" s="481"/>
    </row>
    <row r="15" spans="1:31" ht="19.5" customHeight="1" thickBot="1" x14ac:dyDescent="0.25">
      <c r="A15" s="950"/>
      <c r="B15" s="476">
        <v>10</v>
      </c>
      <c r="C15" s="477" t="s">
        <v>21</v>
      </c>
      <c r="D15" s="478"/>
      <c r="E15" s="462">
        <f>D15</f>
        <v>0</v>
      </c>
      <c r="F15" s="479">
        <f t="shared" si="14"/>
        <v>0</v>
      </c>
      <c r="G15" s="480">
        <f t="shared" si="15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481"/>
      <c r="Y15" s="481"/>
      <c r="Z15" s="481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84">
        <f>F38+C16</f>
        <v>630.4</v>
      </c>
      <c r="E16" s="485">
        <f>D16-C16</f>
        <v>0</v>
      </c>
      <c r="F16" s="457">
        <f t="shared" si="14"/>
        <v>0</v>
      </c>
      <c r="G16" s="463">
        <f t="shared" si="15"/>
        <v>100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1"/>
      <c r="Y16" s="531"/>
      <c r="Z16" s="531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84">
        <f t="shared" ref="D17:D25" si="16">F39+C17</f>
        <v>519.29999999999995</v>
      </c>
      <c r="E17" s="487">
        <f t="shared" ref="E17:E24" si="17">D17-C17</f>
        <v>0</v>
      </c>
      <c r="F17" s="457">
        <f t="shared" si="14"/>
        <v>0</v>
      </c>
      <c r="G17" s="475">
        <f t="shared" si="15"/>
        <v>100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</row>
    <row r="18" spans="1:26" ht="21.95" customHeight="1" thickBot="1" x14ac:dyDescent="0.25">
      <c r="A18" s="949"/>
      <c r="B18" s="486">
        <v>2</v>
      </c>
      <c r="C18" s="472">
        <v>506.2</v>
      </c>
      <c r="D18" s="484">
        <f t="shared" si="16"/>
        <v>506.2</v>
      </c>
      <c r="E18" s="488">
        <f t="shared" si="17"/>
        <v>0</v>
      </c>
      <c r="F18" s="457">
        <f t="shared" si="14"/>
        <v>0</v>
      </c>
      <c r="G18" s="475">
        <f t="shared" si="15"/>
        <v>100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26" ht="21.95" customHeight="1" thickBot="1" x14ac:dyDescent="0.25">
      <c r="A19" s="949"/>
      <c r="B19" s="486">
        <v>1</v>
      </c>
      <c r="C19" s="472">
        <v>383.8</v>
      </c>
      <c r="D19" s="484">
        <f t="shared" si="16"/>
        <v>384.7</v>
      </c>
      <c r="E19" s="487">
        <f t="shared" si="17"/>
        <v>0.89999999999997726</v>
      </c>
      <c r="F19" s="457">
        <f t="shared" si="14"/>
        <v>0.56532663316581488</v>
      </c>
      <c r="G19" s="475">
        <f t="shared" si="15"/>
        <v>99.43467336683419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26" ht="21.95" customHeight="1" thickBot="1" x14ac:dyDescent="0.25">
      <c r="A20" s="949"/>
      <c r="B20" s="471">
        <v>0.63</v>
      </c>
      <c r="C20" s="472">
        <v>376.2</v>
      </c>
      <c r="D20" s="484">
        <f t="shared" si="16"/>
        <v>378.2</v>
      </c>
      <c r="E20" s="488">
        <f t="shared" si="17"/>
        <v>2</v>
      </c>
      <c r="F20" s="457">
        <f t="shared" si="14"/>
        <v>1.256281407035176</v>
      </c>
      <c r="G20" s="475">
        <f t="shared" si="15"/>
        <v>98.178391959799015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0.20499999999999999</v>
      </c>
      <c r="X20" s="530"/>
      <c r="Y20" s="530"/>
      <c r="Z20" s="530"/>
    </row>
    <row r="21" spans="1:26" ht="21.95" customHeight="1" thickBot="1" x14ac:dyDescent="0.25">
      <c r="A21" s="949"/>
      <c r="B21" s="489">
        <v>0.4</v>
      </c>
      <c r="C21" s="472">
        <v>330.8</v>
      </c>
      <c r="D21" s="484">
        <f t="shared" si="16"/>
        <v>341.6</v>
      </c>
      <c r="E21" s="487">
        <f t="shared" si="17"/>
        <v>10.800000000000011</v>
      </c>
      <c r="F21" s="457">
        <f t="shared" si="14"/>
        <v>6.7839195979899571</v>
      </c>
      <c r="G21" s="475">
        <f t="shared" si="15"/>
        <v>91.394472361809051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4.2999999999999997E-2</v>
      </c>
      <c r="X21" s="530"/>
      <c r="Y21" s="530"/>
      <c r="Z21" s="530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84">
        <f t="shared" si="16"/>
        <v>378.3</v>
      </c>
      <c r="E22" s="488">
        <f t="shared" si="17"/>
        <v>52.199999999999989</v>
      </c>
      <c r="F22" s="457">
        <f t="shared" si="14"/>
        <v>32.788944723618087</v>
      </c>
      <c r="G22" s="475">
        <f t="shared" si="15"/>
        <v>58.605527638190964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4.7674418604651168</v>
      </c>
      <c r="X22" s="530"/>
      <c r="Y22" s="530"/>
      <c r="Z22" s="530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84">
        <f t="shared" si="16"/>
        <v>354.4</v>
      </c>
      <c r="E23" s="487">
        <f t="shared" si="17"/>
        <v>50</v>
      </c>
      <c r="F23" s="457">
        <f t="shared" si="14"/>
        <v>31.4070351758794</v>
      </c>
      <c r="G23" s="490">
        <f t="shared" si="15"/>
        <v>27.198492462311563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951"/>
      <c r="B24" s="491">
        <v>6.3E-2</v>
      </c>
      <c r="C24" s="472">
        <v>313.7</v>
      </c>
      <c r="D24" s="484">
        <f t="shared" si="16"/>
        <v>337.3</v>
      </c>
      <c r="E24" s="488">
        <f t="shared" si="17"/>
        <v>23.600000000000023</v>
      </c>
      <c r="F24" s="492">
        <f t="shared" si="14"/>
        <v>14.824120603015089</v>
      </c>
      <c r="G24" s="493">
        <f t="shared" si="15"/>
        <v>12.374371859296474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2.2091851999999993E-5</v>
      </c>
      <c r="X24" s="530"/>
      <c r="Y24" s="530"/>
      <c r="Z24" s="530"/>
    </row>
    <row r="25" spans="1:26" ht="21.95" customHeight="1" thickBot="1" x14ac:dyDescent="0.3">
      <c r="A25" s="494"/>
      <c r="B25" s="476" t="s">
        <v>14</v>
      </c>
      <c r="C25" s="495">
        <v>367.5</v>
      </c>
      <c r="D25" s="484">
        <f t="shared" si="16"/>
        <v>387.2</v>
      </c>
      <c r="E25" s="496">
        <f>D25-C25+(G6-C26)</f>
        <v>19.699999999999989</v>
      </c>
      <c r="F25" s="457">
        <f t="shared" si="14"/>
        <v>12.374371859296476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26" ht="21.95" customHeight="1" x14ac:dyDescent="0.2">
      <c r="A26" s="952" t="s">
        <v>40</v>
      </c>
      <c r="B26" s="953"/>
      <c r="C26" s="497">
        <v>160</v>
      </c>
      <c r="D26" s="498" t="s">
        <v>19</v>
      </c>
      <c r="E26" s="499">
        <f>SUM(E12:E25)</f>
        <v>159.19999999999999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4.5999999999999999E-3</v>
      </c>
      <c r="X26" s="533"/>
      <c r="Y26" s="530"/>
      <c r="Z26" s="530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0.80000000000001137</v>
      </c>
      <c r="F27" s="505">
        <f>IF((E27/G6*100)&gt;1,"Fehler zu groß",(E27/G6*100))</f>
        <v>0.50000000000000711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6.2344581999999985E-6</v>
      </c>
      <c r="X27" s="551" t="str">
        <f>IF(W22&lt;5.000001,"OK","U größer 5")</f>
        <v>OK</v>
      </c>
      <c r="Y27" s="530" t="s">
        <v>323</v>
      </c>
      <c r="Z27" s="530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517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517" t="s">
        <v>45</v>
      </c>
      <c r="B33" s="517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558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517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517" t="s">
        <v>36</v>
      </c>
      <c r="B35" s="518"/>
      <c r="C35" s="518"/>
      <c r="D35" s="518"/>
      <c r="E35" s="519"/>
      <c r="F35" s="520">
        <v>20.3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335</v>
      </c>
      <c r="X35" s="530" t="s">
        <v>336</v>
      </c>
      <c r="Y35" s="530" t="s">
        <v>333</v>
      </c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7.9116286012837733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(W24)</f>
        <v>2.2091851999999993E-5</v>
      </c>
      <c r="W36" s="838">
        <v>1.5610000000000001E-5</v>
      </c>
      <c r="X36" s="838"/>
      <c r="Y36" s="838"/>
      <c r="Z36" s="530"/>
    </row>
    <row r="38" spans="1:26" x14ac:dyDescent="0.2">
      <c r="E38" s="527">
        <v>6.3</v>
      </c>
      <c r="F38" s="956">
        <v>0</v>
      </c>
      <c r="G38" s="957"/>
    </row>
    <row r="39" spans="1:26" x14ac:dyDescent="0.2">
      <c r="E39" s="527">
        <v>4</v>
      </c>
      <c r="F39" s="956">
        <v>0</v>
      </c>
      <c r="G39" s="957"/>
    </row>
    <row r="40" spans="1:26" x14ac:dyDescent="0.2">
      <c r="E40" s="527">
        <v>2</v>
      </c>
      <c r="F40" s="956">
        <v>0</v>
      </c>
      <c r="G40" s="957"/>
    </row>
    <row r="41" spans="1:26" x14ac:dyDescent="0.2">
      <c r="E41" s="527">
        <v>1</v>
      </c>
      <c r="F41" s="956">
        <v>0.9</v>
      </c>
      <c r="G41" s="957"/>
    </row>
    <row r="42" spans="1:26" x14ac:dyDescent="0.2">
      <c r="E42" s="527">
        <v>0.63</v>
      </c>
      <c r="F42" s="956">
        <v>2</v>
      </c>
      <c r="G42" s="957"/>
    </row>
    <row r="43" spans="1:26" x14ac:dyDescent="0.2">
      <c r="E43" s="527">
        <v>0.4</v>
      </c>
      <c r="F43" s="956">
        <v>10.8</v>
      </c>
      <c r="G43" s="957"/>
    </row>
    <row r="44" spans="1:26" x14ac:dyDescent="0.2">
      <c r="E44" s="527">
        <v>0.2</v>
      </c>
      <c r="F44" s="956">
        <v>52.2</v>
      </c>
      <c r="G44" s="957"/>
    </row>
    <row r="45" spans="1:26" x14ac:dyDescent="0.2">
      <c r="E45" s="527">
        <v>0.1</v>
      </c>
      <c r="F45" s="956">
        <v>50</v>
      </c>
      <c r="G45" s="957"/>
    </row>
    <row r="46" spans="1:26" x14ac:dyDescent="0.2">
      <c r="E46" s="528">
        <v>6.3E-2</v>
      </c>
      <c r="F46" s="956">
        <v>23.6</v>
      </c>
      <c r="G46" s="957"/>
    </row>
    <row r="47" spans="1:26" x14ac:dyDescent="0.2">
      <c r="E47" s="529" t="s">
        <v>131</v>
      </c>
      <c r="F47" s="956">
        <v>19.7</v>
      </c>
      <c r="G47" s="957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35">
    <mergeCell ref="F44:G44"/>
    <mergeCell ref="F45:G45"/>
    <mergeCell ref="F46:G46"/>
    <mergeCell ref="F47:G47"/>
    <mergeCell ref="F38:G38"/>
    <mergeCell ref="F39:G39"/>
    <mergeCell ref="F40:G40"/>
    <mergeCell ref="F41:G41"/>
    <mergeCell ref="F42:G42"/>
    <mergeCell ref="F43:G4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4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39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849.5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95.9</v>
      </c>
      <c r="F13" s="170">
        <f t="shared" si="13"/>
        <v>11.337037474878827</v>
      </c>
      <c r="G13" s="182">
        <f t="shared" si="14"/>
        <v>88.662962525121173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140.4</v>
      </c>
      <c r="F14" s="170">
        <f t="shared" si="13"/>
        <v>16.597706584702681</v>
      </c>
      <c r="G14" s="182">
        <f t="shared" si="14"/>
        <v>72.065255940418496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70.3</v>
      </c>
      <c r="F15" s="194">
        <f t="shared" si="13"/>
        <v>8.3106750206880236</v>
      </c>
      <c r="G15" s="195">
        <f t="shared" si="14"/>
        <v>63.754580919730472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22.3</v>
      </c>
      <c r="F16" s="170">
        <f t="shared" si="13"/>
        <v>2.6362454190802693</v>
      </c>
      <c r="G16" s="176">
        <f t="shared" si="14"/>
        <v>61.118335500650204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29.4</v>
      </c>
      <c r="F17" s="170">
        <f t="shared" si="13"/>
        <v>3.4755881309847498</v>
      </c>
      <c r="G17" s="182">
        <f t="shared" si="14"/>
        <v>57.642747369665457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35.1</v>
      </c>
      <c r="F18" s="170">
        <f t="shared" si="13"/>
        <v>4.1494266461756704</v>
      </c>
      <c r="G18" s="182">
        <f t="shared" si="14"/>
        <v>53.493320723489788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46.2</v>
      </c>
      <c r="F19" s="170">
        <f t="shared" si="13"/>
        <v>5.4616384915474638</v>
      </c>
      <c r="G19" s="182">
        <f t="shared" si="14"/>
        <v>48.031682231942327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25.9</v>
      </c>
      <c r="F20" s="170">
        <f t="shared" si="13"/>
        <v>3.0618276392008505</v>
      </c>
      <c r="G20" s="182">
        <f t="shared" si="14"/>
        <v>44.969854592741477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5.3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30.5</v>
      </c>
      <c r="F21" s="170">
        <f t="shared" si="13"/>
        <v>3.6056271426882605</v>
      </c>
      <c r="G21" s="182">
        <f t="shared" si="14"/>
        <v>41.364227450053214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144.6</v>
      </c>
      <c r="F22" s="170">
        <f t="shared" si="13"/>
        <v>17.09421917484336</v>
      </c>
      <c r="G22" s="182">
        <f t="shared" si="14"/>
        <v>24.270008275209854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52.999999999999993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121.1</v>
      </c>
      <c r="F23" s="170">
        <f t="shared" si="13"/>
        <v>14.316113015722898</v>
      </c>
      <c r="G23" s="211">
        <f t="shared" si="14"/>
        <v>9.9538952594869556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44.2</v>
      </c>
      <c r="F24" s="213">
        <f t="shared" si="13"/>
        <v>5.2252039248138074</v>
      </c>
      <c r="G24" s="214">
        <f t="shared" si="14"/>
        <v>4.7286913346731483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1.1947999999999999E-4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40</v>
      </c>
      <c r="F25" s="170">
        <f t="shared" si="13"/>
        <v>4.7286913346731287</v>
      </c>
      <c r="G25" s="176">
        <f>G24-F25</f>
        <v>1.9539925233402755E-14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849.5</v>
      </c>
      <c r="D26" s="735" t="s">
        <v>19</v>
      </c>
      <c r="E26" s="221">
        <f>SUM(E12:E25)</f>
        <v>845.90000000000009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3.5999999999999091</v>
      </c>
      <c r="F27" s="310">
        <f>IF((E27/G6*100)&gt;1,"Fehler zu groß",(E27/G6*100))</f>
        <v>0.42377869334901813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8.502800000000001E-6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553">
        <v>5.9500000000000003E-5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8.9489999999999999E-5</v>
      </c>
      <c r="W36" s="838">
        <v>2.5910000000000001E-4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5"/>
  <dimension ref="A1:AE36"/>
  <sheetViews>
    <sheetView topLeftCell="D16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1011.3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69.099999999999994</v>
      </c>
      <c r="F13" s="170">
        <f t="shared" si="13"/>
        <v>6.8402296574935653</v>
      </c>
      <c r="G13" s="182">
        <f t="shared" si="14"/>
        <v>93.159770342506434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237.7</v>
      </c>
      <c r="F14" s="170">
        <f t="shared" si="13"/>
        <v>23.529994060582062</v>
      </c>
      <c r="G14" s="182">
        <f t="shared" si="14"/>
        <v>69.629776281924364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152.30000000000001</v>
      </c>
      <c r="F15" s="194">
        <f t="shared" si="13"/>
        <v>15.076222530192043</v>
      </c>
      <c r="G15" s="195">
        <f t="shared" si="14"/>
        <v>54.553553751732323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62.4</v>
      </c>
      <c r="F16" s="170">
        <f t="shared" si="13"/>
        <v>6.176994654523857</v>
      </c>
      <c r="G16" s="176">
        <f t="shared" si="14"/>
        <v>48.376559097208464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51.5</v>
      </c>
      <c r="F17" s="170">
        <f t="shared" si="13"/>
        <v>5.0980003959611961</v>
      </c>
      <c r="G17" s="182">
        <f t="shared" si="14"/>
        <v>43.27855870124727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90.8</v>
      </c>
      <c r="F18" s="170">
        <f t="shared" si="13"/>
        <v>8.9883191447238175</v>
      </c>
      <c r="G18" s="182">
        <f t="shared" si="14"/>
        <v>34.290239556523453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83.4</v>
      </c>
      <c r="F19" s="170">
        <f t="shared" si="13"/>
        <v>8.2557909324886172</v>
      </c>
      <c r="G19" s="182">
        <f t="shared" si="14"/>
        <v>26.034448624034837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48.9</v>
      </c>
      <c r="F20" s="170">
        <f t="shared" si="13"/>
        <v>4.8406256186893692</v>
      </c>
      <c r="G20" s="182">
        <f t="shared" si="14"/>
        <v>21.193823005345468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11.5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45.9</v>
      </c>
      <c r="F21" s="170">
        <f t="shared" si="13"/>
        <v>4.5436547218372603</v>
      </c>
      <c r="G21" s="182">
        <f t="shared" si="14"/>
        <v>16.650168283508208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0.23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97.1</v>
      </c>
      <c r="F22" s="170">
        <f t="shared" si="13"/>
        <v>9.6119580281132446</v>
      </c>
      <c r="G22" s="182">
        <f t="shared" si="14"/>
        <v>7.0382102553949633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50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39.799999999999997</v>
      </c>
      <c r="F23" s="170">
        <f t="shared" si="13"/>
        <v>3.9398138982379725</v>
      </c>
      <c r="G23" s="211">
        <f t="shared" si="14"/>
        <v>3.0983963571569908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13.2</v>
      </c>
      <c r="F24" s="213">
        <f t="shared" si="13"/>
        <v>1.3066719461492773</v>
      </c>
      <c r="G24" s="214">
        <f t="shared" si="14"/>
        <v>1.7917244110077135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6.3204919999999994E-4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18.100000000000001</v>
      </c>
      <c r="F25" s="170">
        <f t="shared" si="13"/>
        <v>1.7917244110077213</v>
      </c>
      <c r="G25" s="176">
        <f>G24-F25</f>
        <v>-7.7715611723760958E-15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1010.1999999999999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1.1000000000000227</v>
      </c>
      <c r="F27" s="310">
        <f>IF((E27/G6*100)&gt;1,"Fehler zu groß",(E27/G6*100))</f>
        <v>0.10877088895481289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4.4979811999999999E-5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553">
        <v>3.3E-4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4.8102459999999997E-4</v>
      </c>
      <c r="W36" s="838">
        <v>1.5120000000000001E-3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6"/>
  <dimension ref="A1:AE36"/>
  <sheetViews>
    <sheetView topLeftCell="D15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2029.1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300.8</v>
      </c>
      <c r="F13" s="170">
        <f t="shared" si="13"/>
        <v>14.850654159466799</v>
      </c>
      <c r="G13" s="182">
        <f t="shared" si="14"/>
        <v>85.149345840533201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414.8</v>
      </c>
      <c r="F14" s="170">
        <f t="shared" si="13"/>
        <v>20.47889410022217</v>
      </c>
      <c r="G14" s="182">
        <f t="shared" si="14"/>
        <v>64.670451740311023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232.2</v>
      </c>
      <c r="F15" s="194">
        <f t="shared" si="13"/>
        <v>11.463836089854357</v>
      </c>
      <c r="G15" s="195">
        <f t="shared" si="14"/>
        <v>53.206615650456669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73.8</v>
      </c>
      <c r="F16" s="170">
        <f t="shared" si="13"/>
        <v>3.6435448037521598</v>
      </c>
      <c r="G16" s="176">
        <f t="shared" si="14"/>
        <v>49.563070846704512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142.6</v>
      </c>
      <c r="F17" s="170">
        <f t="shared" si="13"/>
        <v>7.0402369785238212</v>
      </c>
      <c r="G17" s="182">
        <f t="shared" si="14"/>
        <v>42.52283386818069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171.3</v>
      </c>
      <c r="F18" s="170">
        <f t="shared" si="13"/>
        <v>8.4571710688718849</v>
      </c>
      <c r="G18" s="182">
        <f t="shared" si="14"/>
        <v>34.065662799308804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170.3</v>
      </c>
      <c r="F19" s="170">
        <f t="shared" si="13"/>
        <v>8.4078005430757852</v>
      </c>
      <c r="G19" s="182">
        <f t="shared" si="14"/>
        <v>25.657862256233017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112.7</v>
      </c>
      <c r="F20" s="170">
        <f t="shared" si="13"/>
        <v>5.5640582572204407</v>
      </c>
      <c r="G20" s="182">
        <f t="shared" si="14"/>
        <v>20.093803999012575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13.5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117.2</v>
      </c>
      <c r="F21" s="170">
        <f t="shared" si="13"/>
        <v>5.7862256233028893</v>
      </c>
      <c r="G21" s="182">
        <f t="shared" si="14"/>
        <v>14.307578375709685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213.2</v>
      </c>
      <c r="F22" s="170">
        <f t="shared" si="13"/>
        <v>10.525796099728463</v>
      </c>
      <c r="G22" s="182">
        <f t="shared" si="14"/>
        <v>3.7817822759812216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45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38.1</v>
      </c>
      <c r="F23" s="170">
        <f t="shared" si="13"/>
        <v>1.8810170328313998</v>
      </c>
      <c r="G23" s="211">
        <f t="shared" si="14"/>
        <v>1.9007652431498219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17.100000000000001</v>
      </c>
      <c r="F24" s="213">
        <f t="shared" si="13"/>
        <v>0.8442359911133055</v>
      </c>
      <c r="G24" s="214">
        <f t="shared" si="14"/>
        <v>1.0565292520365164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1.0753199999999996E-3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21.4</v>
      </c>
      <c r="F25" s="170">
        <f t="shared" si="13"/>
        <v>1.0565292520365341</v>
      </c>
      <c r="G25" s="176">
        <f>G24-F25</f>
        <v>-1.7763568394002505E-14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2025.4999999999998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3.6000000000001364</v>
      </c>
      <c r="F27" s="310">
        <f>IF((E27/G6*100)&gt;1,"Fehler zu groß",(E27/G6*100))</f>
        <v>0.17741855995269512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7.6525200000000004E-5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553">
        <v>5.2499999999999997E-4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8.0015999999999985E-4</v>
      </c>
      <c r="W36" s="838">
        <v>2.4130000000000002E-3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7"/>
  <dimension ref="A1:AE36"/>
  <sheetViews>
    <sheetView topLeftCell="A18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1744.1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121.5</v>
      </c>
      <c r="F13" s="170">
        <f t="shared" si="13"/>
        <v>6.9867740080506033</v>
      </c>
      <c r="G13" s="182">
        <f t="shared" si="14"/>
        <v>93.013225991949398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295.3</v>
      </c>
      <c r="F14" s="170">
        <f t="shared" si="13"/>
        <v>16.981023576768255</v>
      </c>
      <c r="G14" s="182">
        <f t="shared" si="14"/>
        <v>76.032202415181146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223.8</v>
      </c>
      <c r="F15" s="194">
        <f t="shared" si="13"/>
        <v>12.869465209890741</v>
      </c>
      <c r="G15" s="195">
        <f t="shared" si="14"/>
        <v>63.162737205290405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76.5</v>
      </c>
      <c r="F16" s="170">
        <f t="shared" si="13"/>
        <v>4.3990799309948239</v>
      </c>
      <c r="G16" s="176">
        <f t="shared" si="14"/>
        <v>58.763657274295582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133.4</v>
      </c>
      <c r="F17" s="170">
        <f t="shared" si="13"/>
        <v>7.6710753306497983</v>
      </c>
      <c r="G17" s="182">
        <f t="shared" si="14"/>
        <v>51.092581943645783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188</v>
      </c>
      <c r="F18" s="170">
        <f t="shared" si="13"/>
        <v>10.810810810810811</v>
      </c>
      <c r="G18" s="182">
        <f t="shared" si="14"/>
        <v>40.281771132834976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195</v>
      </c>
      <c r="F19" s="170">
        <f t="shared" si="13"/>
        <v>11.213341000575042</v>
      </c>
      <c r="G19" s="182">
        <f t="shared" si="14"/>
        <v>29.068430132259934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186.9</v>
      </c>
      <c r="F20" s="170">
        <f t="shared" si="13"/>
        <v>10.747556066705002</v>
      </c>
      <c r="G20" s="182">
        <f t="shared" si="14"/>
        <v>18.320874065554932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7.1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94.4</v>
      </c>
      <c r="F21" s="170">
        <f t="shared" si="13"/>
        <v>5.4284071305347892</v>
      </c>
      <c r="G21" s="182">
        <f t="shared" si="14"/>
        <v>12.892466935020142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0.30499999999999999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135.4</v>
      </c>
      <c r="F22" s="170">
        <f t="shared" si="13"/>
        <v>7.7860839562967215</v>
      </c>
      <c r="G22" s="182">
        <f t="shared" si="14"/>
        <v>5.1063829787234205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23.278688524590162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37.5</v>
      </c>
      <c r="F23" s="170">
        <f t="shared" si="13"/>
        <v>2.1564117308798156</v>
      </c>
      <c r="G23" s="211">
        <f t="shared" si="14"/>
        <v>2.9499712478436049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20.2</v>
      </c>
      <c r="F24" s="213">
        <f t="shared" si="13"/>
        <v>1.1615871190339273</v>
      </c>
      <c r="G24" s="214">
        <f t="shared" si="14"/>
        <v>1.7883841288096776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1.1114626999999995E-3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31.1</v>
      </c>
      <c r="F25" s="170">
        <f t="shared" si="13"/>
        <v>1.7883841288096607</v>
      </c>
      <c r="G25" s="176">
        <f>G24-F25</f>
        <v>1.6875389974302379E-14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1739.0000000000002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5.0999999999996817</v>
      </c>
      <c r="F27" s="310">
        <f>IF((E27/G6*100)&gt;1,"Fehler zu groß",(E27/G6*100))</f>
        <v>0.29241442577832016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7.9097296999999998E-5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553">
        <v>5.6999999999999998E-4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8.4073134999999974E-4</v>
      </c>
      <c r="W36" s="838">
        <v>1.6750000000000001E-3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8"/>
  <dimension ref="A1:AE36"/>
  <sheetViews>
    <sheetView topLeftCell="K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1877.4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474.3</v>
      </c>
      <c r="F14" s="170">
        <f t="shared" si="13"/>
        <v>25.29330204778157</v>
      </c>
      <c r="G14" s="182">
        <f t="shared" si="14"/>
        <v>74.706697952218434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263.5</v>
      </c>
      <c r="F15" s="194">
        <f t="shared" si="13"/>
        <v>14.05183447098976</v>
      </c>
      <c r="G15" s="195">
        <f t="shared" si="14"/>
        <v>60.654863481228674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62.9</v>
      </c>
      <c r="F16" s="170">
        <f t="shared" si="13"/>
        <v>3.3543088737201363</v>
      </c>
      <c r="G16" s="176">
        <f t="shared" si="14"/>
        <v>57.300554607508538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131.5</v>
      </c>
      <c r="F17" s="170">
        <f t="shared" si="13"/>
        <v>7.0125853242320817</v>
      </c>
      <c r="G17" s="182">
        <f t="shared" si="14"/>
        <v>50.287969283276453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150.30000000000001</v>
      </c>
      <c r="F18" s="170">
        <f t="shared" si="13"/>
        <v>8.0151450511945406</v>
      </c>
      <c r="G18" s="182">
        <f t="shared" si="14"/>
        <v>42.272824232081916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185.2</v>
      </c>
      <c r="F19" s="170">
        <f t="shared" si="13"/>
        <v>9.8762798634812281</v>
      </c>
      <c r="G19" s="182">
        <f t="shared" si="14"/>
        <v>32.396544368600686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295.3</v>
      </c>
      <c r="F20" s="170">
        <f t="shared" si="13"/>
        <v>15.747653583617749</v>
      </c>
      <c r="G20" s="182">
        <f t="shared" si="14"/>
        <v>16.648890784982939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9.1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144.69999999999999</v>
      </c>
      <c r="F21" s="170">
        <f t="shared" si="13"/>
        <v>7.7165102389078495</v>
      </c>
      <c r="G21" s="182">
        <f t="shared" si="14"/>
        <v>8.9323805460750894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101.6</v>
      </c>
      <c r="F22" s="170">
        <f t="shared" si="13"/>
        <v>5.4180887372013649</v>
      </c>
      <c r="G22" s="182">
        <f t="shared" si="14"/>
        <v>3.5142918088737245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22.195121951219512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21.9</v>
      </c>
      <c r="F23" s="170">
        <f t="shared" si="13"/>
        <v>1.1678754266211602</v>
      </c>
      <c r="G23" s="211">
        <f t="shared" si="14"/>
        <v>2.3464163822525643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19</v>
      </c>
      <c r="F24" s="213">
        <f t="shared" si="13"/>
        <v>1.0132252559726962</v>
      </c>
      <c r="G24" s="214">
        <f t="shared" si="14"/>
        <v>1.3331911262798681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2.0084587999999993E-3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25</v>
      </c>
      <c r="F25" s="170">
        <f t="shared" si="13"/>
        <v>1.3331911262798635</v>
      </c>
      <c r="G25" s="176">
        <f>G24-F25</f>
        <v>4.6629367034256575E-15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1875.2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2.2000000000000455</v>
      </c>
      <c r="F27" s="310">
        <f>IF((E27/G6*100)&gt;1,"Fehler zu groß",(E27/G6*100))</f>
        <v>0.11718333865985114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1.4293206799999997E-4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1E-3</v>
      </c>
      <c r="X29" s="794" t="s">
        <v>113</v>
      </c>
      <c r="Y29" s="553">
        <v>1E-3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1.5042293999999996E-3</v>
      </c>
      <c r="W36" s="838">
        <v>2.0449999999999999E-3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9"/>
  <dimension ref="A1:AE36"/>
  <sheetViews>
    <sheetView topLeftCell="T16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44</v>
      </c>
      <c r="D3" s="385" t="s">
        <v>25</v>
      </c>
      <c r="E3" s="387"/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39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165</v>
      </c>
      <c r="D4" s="403" t="s">
        <v>24</v>
      </c>
      <c r="E4" s="402" t="s">
        <v>164</v>
      </c>
      <c r="F4" s="404"/>
      <c r="G4" s="405"/>
      <c r="H4" s="371"/>
      <c r="I4" s="406">
        <f>J4*60</f>
        <v>30</v>
      </c>
      <c r="J4" s="407">
        <v>0.5</v>
      </c>
      <c r="K4" s="408">
        <v>18</v>
      </c>
      <c r="L4" s="409">
        <v>1.0105</v>
      </c>
      <c r="M4" s="407">
        <f t="shared" ref="M4:M10" si="0">(L4-1)*1000</f>
        <v>10.499999999999954</v>
      </c>
      <c r="N4" s="407">
        <f>M4+$G$33</f>
        <v>11.999999999999901</v>
      </c>
      <c r="O4" s="410">
        <v>-0.35</v>
      </c>
      <c r="P4" s="411">
        <f t="shared" ref="P4:P12" si="1">N4+O4</f>
        <v>11.649999999999901</v>
      </c>
      <c r="Q4" s="412">
        <f>((18.35*V4/($F$34-W4))*Z4)^0.5</f>
        <v>7.8658994254979797E-2</v>
      </c>
      <c r="R4" s="407">
        <f t="shared" ref="R4:R10" si="2">$F$36*P4</f>
        <v>93.041303135782684</v>
      </c>
      <c r="S4" s="413">
        <f t="shared" ref="S4:S10" si="3">$G$24/100*R4</f>
        <v>10.880681359508777</v>
      </c>
      <c r="T4" s="831">
        <f>(S4/S$13)*S$4</f>
        <v>2.2495108755683701</v>
      </c>
      <c r="U4" s="414">
        <f>1+0.001*N4</f>
        <v>1.012</v>
      </c>
      <c r="V4" s="415">
        <f>0.00178/(1+0.0337*K4+0.00022*K4^2)</f>
        <v>1.0608625169857199E-3</v>
      </c>
      <c r="W4" s="414">
        <f>1/(1+((2.31*K4-2)^2-182)*0.00001)</f>
        <v>0.98634332312503503</v>
      </c>
      <c r="X4" s="416">
        <f>4142.8*(1.03-U4)/10</f>
        <v>7.4570400000000063</v>
      </c>
      <c r="Y4" s="417">
        <f t="shared" ref="Y4:Y12" si="4">X4+$AB$5+0.5*($AC$5-$AD$5/$AE$5)</f>
        <v>15.86304538785293</v>
      </c>
      <c r="Z4" s="418">
        <f t="shared" ref="Z4:Z12" si="5">Y4/I4</f>
        <v>0.5287681795950977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>
        <v>18</v>
      </c>
      <c r="L5" s="409">
        <v>1.0105</v>
      </c>
      <c r="M5" s="407">
        <f t="shared" si="0"/>
        <v>10.499999999999954</v>
      </c>
      <c r="N5" s="407">
        <f t="shared" ref="N5:N12" si="6">M5+$G$33</f>
        <v>11.999999999999901</v>
      </c>
      <c r="O5" s="410">
        <v>-0.35</v>
      </c>
      <c r="P5" s="411">
        <f t="shared" si="1"/>
        <v>11.649999999999901</v>
      </c>
      <c r="Q5" s="412">
        <f t="shared" ref="Q5:Q12" si="7">((18.35*V5/($F$34-W5))*Z5)^0.5</f>
        <v>5.5620308239009895E-2</v>
      </c>
      <c r="R5" s="407">
        <f t="shared" si="2"/>
        <v>93.041303135782684</v>
      </c>
      <c r="S5" s="413">
        <f t="shared" si="3"/>
        <v>10.880681359508777</v>
      </c>
      <c r="T5" s="831">
        <f t="shared" ref="T5:T12" si="8">(S5/S$13)*S$4</f>
        <v>2.2495108755683701</v>
      </c>
      <c r="U5" s="414">
        <f t="shared" ref="U5:U12" si="9">1+0.001*N5</f>
        <v>1.012</v>
      </c>
      <c r="V5" s="415">
        <f t="shared" ref="V5:V12" si="10">0.00178/(1+0.0337*K5+0.00022*K5^2)</f>
        <v>1.0608625169857199E-3</v>
      </c>
      <c r="W5" s="414">
        <f t="shared" ref="W5:W12" si="11">1/(1+((2.31*K5-2)^2-182)*0.00001)</f>
        <v>0.98634332312503503</v>
      </c>
      <c r="X5" s="416">
        <f t="shared" ref="X5:X12" si="12">4142.8*(1.03-U5)/10</f>
        <v>7.4570400000000063</v>
      </c>
      <c r="Y5" s="417">
        <f t="shared" si="4"/>
        <v>15.86304538785293</v>
      </c>
      <c r="Z5" s="418">
        <f t="shared" si="5"/>
        <v>0.26438408979754885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1021</v>
      </c>
      <c r="I6" s="406">
        <f t="shared" ref="I6:I12" si="13">J6*60</f>
        <v>120</v>
      </c>
      <c r="J6" s="426">
        <v>2</v>
      </c>
      <c r="K6" s="408">
        <v>18</v>
      </c>
      <c r="L6" s="409">
        <v>1.0055000000000001</v>
      </c>
      <c r="M6" s="407">
        <f t="shared" si="0"/>
        <v>5.5000000000000604</v>
      </c>
      <c r="N6" s="407">
        <f t="shared" si="6"/>
        <v>7.0000000000000062</v>
      </c>
      <c r="O6" s="410">
        <v>-0.35</v>
      </c>
      <c r="P6" s="411">
        <f t="shared" si="1"/>
        <v>6.6500000000000066</v>
      </c>
      <c r="Q6" s="412">
        <f t="shared" si="7"/>
        <v>4.1818561106386057E-2</v>
      </c>
      <c r="R6" s="407">
        <f t="shared" si="2"/>
        <v>53.109413377936548</v>
      </c>
      <c r="S6" s="413">
        <f t="shared" si="3"/>
        <v>6.2108610335394046</v>
      </c>
      <c r="T6" s="831">
        <f t="shared" si="8"/>
        <v>1.2840555641656484</v>
      </c>
      <c r="U6" s="414">
        <f t="shared" si="9"/>
        <v>1.0070000000000001</v>
      </c>
      <c r="V6" s="415">
        <f t="shared" si="10"/>
        <v>1.0608625169857199E-3</v>
      </c>
      <c r="W6" s="414">
        <f t="shared" si="11"/>
        <v>0.98634332312503503</v>
      </c>
      <c r="X6" s="416">
        <f t="shared" si="12"/>
        <v>9.5284399999999643</v>
      </c>
      <c r="Y6" s="417">
        <f t="shared" si="4"/>
        <v>17.93444538785289</v>
      </c>
      <c r="Z6" s="418">
        <f t="shared" si="5"/>
        <v>0.14945371156544074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39">
        <v>18</v>
      </c>
      <c r="L7" s="409">
        <v>1.0049999999999999</v>
      </c>
      <c r="M7" s="407">
        <f t="shared" si="0"/>
        <v>4.9999999999998934</v>
      </c>
      <c r="N7" s="407">
        <f t="shared" si="6"/>
        <v>6.4999999999998392</v>
      </c>
      <c r="O7" s="410">
        <v>-0.35</v>
      </c>
      <c r="P7" s="411">
        <f t="shared" si="1"/>
        <v>6.1499999999998396</v>
      </c>
      <c r="Q7" s="412">
        <f t="shared" si="7"/>
        <v>2.6600679118242699E-2</v>
      </c>
      <c r="R7" s="407">
        <f t="shared" si="2"/>
        <v>49.116224402150515</v>
      </c>
      <c r="S7" s="413">
        <f t="shared" si="3"/>
        <v>5.7438790009423011</v>
      </c>
      <c r="T7" s="831">
        <f t="shared" si="8"/>
        <v>1.1875100330253419</v>
      </c>
      <c r="U7" s="414">
        <f t="shared" si="9"/>
        <v>1.0065</v>
      </c>
      <c r="V7" s="415">
        <f t="shared" si="10"/>
        <v>1.0608625169857199E-3</v>
      </c>
      <c r="W7" s="414">
        <f t="shared" si="11"/>
        <v>0.98634332312503503</v>
      </c>
      <c r="X7" s="416">
        <f t="shared" si="12"/>
        <v>9.7355800000000308</v>
      </c>
      <c r="Y7" s="417">
        <f t="shared" si="4"/>
        <v>18.141585387852956</v>
      </c>
      <c r="Z7" s="418">
        <f t="shared" si="5"/>
        <v>6.047195129284319E-2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39">
        <v>18</v>
      </c>
      <c r="L8" s="409">
        <v>1.0044999999999999</v>
      </c>
      <c r="M8" s="407">
        <f t="shared" si="0"/>
        <v>4.4999999999999485</v>
      </c>
      <c r="N8" s="407">
        <f t="shared" si="6"/>
        <v>5.9999999999998943</v>
      </c>
      <c r="O8" s="410">
        <v>-0.35</v>
      </c>
      <c r="P8" s="411">
        <f t="shared" si="1"/>
        <v>5.6499999999998947</v>
      </c>
      <c r="Q8" s="412">
        <f t="shared" si="7"/>
        <v>1.544533843267938E-2</v>
      </c>
      <c r="R8" s="407">
        <f t="shared" si="2"/>
        <v>45.123035426366258</v>
      </c>
      <c r="S8" s="413">
        <f t="shared" si="3"/>
        <v>5.2768969683454054</v>
      </c>
      <c r="T8" s="831">
        <f t="shared" si="8"/>
        <v>1.0909645018850784</v>
      </c>
      <c r="U8" s="414">
        <f t="shared" si="9"/>
        <v>1.0059999999999998</v>
      </c>
      <c r="V8" s="415">
        <f t="shared" si="10"/>
        <v>1.0608625169857199E-3</v>
      </c>
      <c r="W8" s="414">
        <f t="shared" si="11"/>
        <v>0.98634332312503503</v>
      </c>
      <c r="X8" s="416">
        <f t="shared" si="12"/>
        <v>9.9427200000001008</v>
      </c>
      <c r="Y8" s="417">
        <f t="shared" si="4"/>
        <v>18.348725387853023</v>
      </c>
      <c r="Z8" s="418">
        <f t="shared" si="5"/>
        <v>2.0387472653170025E-2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39">
        <v>18</v>
      </c>
      <c r="L9" s="409">
        <v>1.0035000000000001</v>
      </c>
      <c r="M9" s="407">
        <f t="shared" si="0"/>
        <v>3.5000000000000586</v>
      </c>
      <c r="N9" s="407">
        <f t="shared" si="6"/>
        <v>5.0000000000000044</v>
      </c>
      <c r="O9" s="410">
        <v>-0.35</v>
      </c>
      <c r="P9" s="411">
        <f t="shared" si="1"/>
        <v>4.6500000000000048</v>
      </c>
      <c r="Q9" s="412">
        <f t="shared" si="7"/>
        <v>9.0174771946025366E-3</v>
      </c>
      <c r="R9" s="407">
        <f t="shared" si="2"/>
        <v>37.136657474797737</v>
      </c>
      <c r="S9" s="413">
        <f t="shared" si="3"/>
        <v>4.3429329031516133</v>
      </c>
      <c r="T9" s="831">
        <f t="shared" si="8"/>
        <v>0.89787343960455113</v>
      </c>
      <c r="U9" s="414">
        <f t="shared" si="9"/>
        <v>1.0049999999999999</v>
      </c>
      <c r="V9" s="415">
        <f t="shared" si="10"/>
        <v>1.0608625169857199E-3</v>
      </c>
      <c r="W9" s="414">
        <f t="shared" si="11"/>
        <v>0.98634332312503503</v>
      </c>
      <c r="X9" s="416">
        <f t="shared" si="12"/>
        <v>10.357000000000056</v>
      </c>
      <c r="Y9" s="417">
        <f t="shared" si="4"/>
        <v>18.763005387852978</v>
      </c>
      <c r="Z9" s="418">
        <f t="shared" si="5"/>
        <v>6.9492612547603621E-3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39">
        <v>18</v>
      </c>
      <c r="L10" s="409">
        <v>1.0029999999999999</v>
      </c>
      <c r="M10" s="407">
        <f t="shared" si="0"/>
        <v>2.9999999999998916</v>
      </c>
      <c r="N10" s="407">
        <f t="shared" si="6"/>
        <v>4.4999999999998375</v>
      </c>
      <c r="O10" s="410">
        <v>-0.35</v>
      </c>
      <c r="P10" s="411">
        <f t="shared" si="1"/>
        <v>4.1499999999998378</v>
      </c>
      <c r="Q10" s="412">
        <f t="shared" si="7"/>
        <v>5.5524520219482265E-3</v>
      </c>
      <c r="R10" s="407">
        <f t="shared" si="2"/>
        <v>33.143468499011703</v>
      </c>
      <c r="S10" s="413">
        <f t="shared" si="3"/>
        <v>3.8759508705545103</v>
      </c>
      <c r="T10" s="831">
        <f t="shared" si="8"/>
        <v>0.80132790846424473</v>
      </c>
      <c r="U10" s="414">
        <f t="shared" si="9"/>
        <v>1.0044999999999997</v>
      </c>
      <c r="V10" s="415">
        <f t="shared" si="10"/>
        <v>1.0608625169857199E-3</v>
      </c>
      <c r="W10" s="414">
        <f t="shared" si="11"/>
        <v>0.98634332312503503</v>
      </c>
      <c r="X10" s="416">
        <f t="shared" si="12"/>
        <v>10.564140000000126</v>
      </c>
      <c r="Y10" s="417">
        <f t="shared" si="4"/>
        <v>18.970145387853051</v>
      </c>
      <c r="Z10" s="418">
        <f t="shared" si="5"/>
        <v>2.6347424149795904E-3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439">
        <v>18</v>
      </c>
      <c r="L11" s="409">
        <v>1.002</v>
      </c>
      <c r="M11" s="407">
        <f>(L11-1)*1000</f>
        <v>2.0000000000000018</v>
      </c>
      <c r="N11" s="407">
        <f t="shared" si="6"/>
        <v>3.4999999999999476</v>
      </c>
      <c r="O11" s="410">
        <v>-0.35</v>
      </c>
      <c r="P11" s="411">
        <f t="shared" si="1"/>
        <v>3.1499999999999475</v>
      </c>
      <c r="Q11" s="412">
        <f t="shared" si="7"/>
        <v>3.2405246052518467E-3</v>
      </c>
      <c r="R11" s="407">
        <f>$F$36*P11</f>
        <v>25.157090547443183</v>
      </c>
      <c r="S11" s="413">
        <f>$G$24/100*R11</f>
        <v>2.9419868053607185</v>
      </c>
      <c r="T11" s="831">
        <f t="shared" si="8"/>
        <v>0.60823684618371743</v>
      </c>
      <c r="U11" s="414">
        <f t="shared" si="9"/>
        <v>1.0034999999999998</v>
      </c>
      <c r="V11" s="415">
        <f t="shared" si="10"/>
        <v>1.0608625169857199E-3</v>
      </c>
      <c r="W11" s="414">
        <f t="shared" si="11"/>
        <v>0.98634332312503503</v>
      </c>
      <c r="X11" s="416">
        <f t="shared" si="12"/>
        <v>10.97842000000008</v>
      </c>
      <c r="Y11" s="417">
        <f t="shared" si="4"/>
        <v>19.384425387853003</v>
      </c>
      <c r="Z11" s="418">
        <f t="shared" si="5"/>
        <v>8.9742710128949091E-4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561">
        <v>18</v>
      </c>
      <c r="L12" s="466">
        <v>1.0015000000000001</v>
      </c>
      <c r="M12" s="467">
        <f>(L12-1)*1000</f>
        <v>1.5000000000000568</v>
      </c>
      <c r="N12" s="467">
        <f t="shared" si="6"/>
        <v>3.0000000000000027</v>
      </c>
      <c r="O12" s="410">
        <v>-0.35</v>
      </c>
      <c r="P12" s="468">
        <f t="shared" si="1"/>
        <v>2.6500000000000026</v>
      </c>
      <c r="Q12" s="469">
        <f t="shared" si="7"/>
        <v>1.6288962776364155E-3</v>
      </c>
      <c r="R12" s="467">
        <f>$F$36*P12</f>
        <v>21.163901571658926</v>
      </c>
      <c r="S12" s="470">
        <f>$G$24/100*R12</f>
        <v>2.4750047727638229</v>
      </c>
      <c r="T12" s="831">
        <f t="shared" si="8"/>
        <v>0.51169131504345389</v>
      </c>
      <c r="U12" s="414">
        <f t="shared" si="9"/>
        <v>1.0030000000000001</v>
      </c>
      <c r="V12" s="415">
        <f t="shared" si="10"/>
        <v>1.0608625169857199E-3</v>
      </c>
      <c r="W12" s="414">
        <f t="shared" si="11"/>
        <v>0.98634332312503503</v>
      </c>
      <c r="X12" s="416">
        <f t="shared" si="12"/>
        <v>11.185559999999963</v>
      </c>
      <c r="Y12" s="417">
        <f t="shared" si="4"/>
        <v>19.591565387852889</v>
      </c>
      <c r="Z12" s="418">
        <f t="shared" si="5"/>
        <v>2.2675422902607509E-4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>
        <v>0</v>
      </c>
      <c r="E13" s="474">
        <f>D13</f>
        <v>0</v>
      </c>
      <c r="F13" s="457">
        <f t="shared" si="14"/>
        <v>0</v>
      </c>
      <c r="G13" s="475">
        <f t="shared" si="15"/>
        <v>100</v>
      </c>
      <c r="S13" s="372">
        <f>SUM(S4:S12)</f>
        <v>52.628875073675339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0</v>
      </c>
      <c r="E14" s="474">
        <f>D14</f>
        <v>0</v>
      </c>
      <c r="F14" s="457">
        <f t="shared" si="14"/>
        <v>0</v>
      </c>
      <c r="G14" s="475">
        <f t="shared" si="15"/>
        <v>100</v>
      </c>
      <c r="U14" s="530"/>
      <c r="V14" s="530"/>
      <c r="W14" s="531"/>
      <c r="X14" s="481"/>
      <c r="Y14" s="481"/>
      <c r="Z14" s="481"/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0</v>
      </c>
      <c r="E15" s="462">
        <f>D15</f>
        <v>0</v>
      </c>
      <c r="F15" s="479">
        <f t="shared" si="14"/>
        <v>0</v>
      </c>
      <c r="G15" s="480">
        <f t="shared" si="15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481"/>
      <c r="Y15" s="481"/>
      <c r="Z15" s="481"/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630.4</v>
      </c>
      <c r="E16" s="485">
        <f>D16-C16</f>
        <v>0</v>
      </c>
      <c r="F16" s="457">
        <f t="shared" si="14"/>
        <v>0</v>
      </c>
      <c r="G16" s="463">
        <f t="shared" si="15"/>
        <v>100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1"/>
      <c r="Y16" s="531"/>
      <c r="Z16" s="531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562">
        <v>519.29999999999995</v>
      </c>
      <c r="E17" s="487">
        <f t="shared" ref="E17:E24" si="16">D17-C17</f>
        <v>0</v>
      </c>
      <c r="F17" s="457">
        <f t="shared" si="14"/>
        <v>0</v>
      </c>
      <c r="G17" s="475">
        <f t="shared" si="15"/>
        <v>100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</row>
    <row r="18" spans="1:26" ht="21.95" customHeight="1" x14ac:dyDescent="0.2">
      <c r="A18" s="949"/>
      <c r="B18" s="486">
        <v>2</v>
      </c>
      <c r="C18" s="472">
        <v>506.2</v>
      </c>
      <c r="D18" s="562">
        <v>507.8</v>
      </c>
      <c r="E18" s="488">
        <f t="shared" si="16"/>
        <v>1.6000000000000227</v>
      </c>
      <c r="F18" s="457">
        <f t="shared" si="14"/>
        <v>0.15789993091878246</v>
      </c>
      <c r="G18" s="475">
        <f t="shared" si="15"/>
        <v>99.842100069081212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26" ht="21.95" customHeight="1" x14ac:dyDescent="0.2">
      <c r="A19" s="949"/>
      <c r="B19" s="486">
        <v>1</v>
      </c>
      <c r="C19" s="472">
        <v>383.8</v>
      </c>
      <c r="D19" s="562">
        <v>392.6</v>
      </c>
      <c r="E19" s="487">
        <f t="shared" si="16"/>
        <v>8.8000000000000114</v>
      </c>
      <c r="F19" s="457">
        <f t="shared" si="14"/>
        <v>0.86844962005329229</v>
      </c>
      <c r="G19" s="475">
        <f t="shared" si="15"/>
        <v>98.973650449027915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26" ht="21.95" customHeight="1" x14ac:dyDescent="0.2">
      <c r="A20" s="949"/>
      <c r="B20" s="471">
        <v>0.63</v>
      </c>
      <c r="C20" s="472">
        <v>376.2</v>
      </c>
      <c r="D20" s="562">
        <v>471.9</v>
      </c>
      <c r="E20" s="488">
        <f t="shared" si="16"/>
        <v>95.699999999999989</v>
      </c>
      <c r="F20" s="457">
        <f t="shared" si="14"/>
        <v>9.4443896180795406</v>
      </c>
      <c r="G20" s="475">
        <f t="shared" si="15"/>
        <v>89.529260830948374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0.23499999999999999</v>
      </c>
      <c r="X20" s="530"/>
      <c r="Y20" s="530"/>
      <c r="Z20" s="530"/>
    </row>
    <row r="21" spans="1:26" ht="21.95" customHeight="1" thickBot="1" x14ac:dyDescent="0.25">
      <c r="A21" s="949"/>
      <c r="B21" s="489">
        <v>0.4</v>
      </c>
      <c r="C21" s="472">
        <v>330.8</v>
      </c>
      <c r="D21" s="562">
        <v>375.6</v>
      </c>
      <c r="E21" s="487">
        <f t="shared" si="16"/>
        <v>44.800000000000011</v>
      </c>
      <c r="F21" s="457">
        <f t="shared" si="14"/>
        <v>4.4211980657258465</v>
      </c>
      <c r="G21" s="475">
        <f t="shared" si="15"/>
        <v>85.108062765222527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5.2999999999999999E-2</v>
      </c>
      <c r="X21" s="530"/>
      <c r="Y21" s="530"/>
      <c r="Z21" s="530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562">
        <v>706.9</v>
      </c>
      <c r="E22" s="488">
        <f t="shared" si="16"/>
        <v>380.79999999999995</v>
      </c>
      <c r="F22" s="457">
        <f t="shared" si="14"/>
        <v>37.580183558669688</v>
      </c>
      <c r="G22" s="475">
        <f t="shared" si="15"/>
        <v>47.527879206552839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4.4339622641509431</v>
      </c>
      <c r="X22" s="530"/>
      <c r="Y22" s="530"/>
      <c r="Z22" s="530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562">
        <v>570</v>
      </c>
      <c r="E23" s="487">
        <f t="shared" si="16"/>
        <v>265.60000000000002</v>
      </c>
      <c r="F23" s="457">
        <f t="shared" si="14"/>
        <v>26.211388532517514</v>
      </c>
      <c r="G23" s="490">
        <f t="shared" si="15"/>
        <v>21.316490674035325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951"/>
      <c r="B24" s="491">
        <v>6.3E-2</v>
      </c>
      <c r="C24" s="472">
        <v>313.7</v>
      </c>
      <c r="D24" s="562">
        <v>411.2</v>
      </c>
      <c r="E24" s="488">
        <f t="shared" si="16"/>
        <v>97.5</v>
      </c>
      <c r="F24" s="492">
        <f t="shared" si="14"/>
        <v>9.6220270403631698</v>
      </c>
      <c r="G24" s="493">
        <f t="shared" si="15"/>
        <v>11.694463633672155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3.3561931999999995E-5</v>
      </c>
      <c r="X24" s="530"/>
      <c r="Y24" s="530"/>
      <c r="Z24" s="530"/>
    </row>
    <row r="25" spans="1:26" ht="21.95" customHeight="1" thickBot="1" x14ac:dyDescent="0.3">
      <c r="A25" s="494"/>
      <c r="B25" s="476" t="s">
        <v>14</v>
      </c>
      <c r="C25" s="495">
        <v>367.5</v>
      </c>
      <c r="D25" s="563">
        <v>486</v>
      </c>
      <c r="E25" s="496">
        <f>D25-C25+(G6-C26)</f>
        <v>118.5</v>
      </c>
      <c r="F25" s="457">
        <f t="shared" si="14"/>
        <v>11.694463633672161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26" ht="21.95" customHeight="1" x14ac:dyDescent="0.2">
      <c r="A26" s="952" t="s">
        <v>40</v>
      </c>
      <c r="B26" s="953"/>
      <c r="C26" s="497">
        <v>1021</v>
      </c>
      <c r="D26" s="498" t="s">
        <v>19</v>
      </c>
      <c r="E26" s="499">
        <f>SUM(E12:E25)</f>
        <v>1013.3000000000001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4.5999999999999999E-3</v>
      </c>
      <c r="X26" s="533"/>
      <c r="Y26" s="530"/>
      <c r="Z26" s="530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7.6999999999999318</v>
      </c>
      <c r="F27" s="505">
        <f>IF((E27/G6*100)&gt;1,"Fehler zu groß",(E27/G6*100))</f>
        <v>0.75416258570028716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9.4713861999999987E-6</v>
      </c>
      <c r="X27" s="551" t="str">
        <f>IF(W22&lt;5.000001,"OK","U größer 5")</f>
        <v>OK</v>
      </c>
      <c r="Y27" s="530" t="s">
        <v>323</v>
      </c>
      <c r="Z27" s="530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>
        <v>3.0499999999999999E-5</v>
      </c>
      <c r="X29" s="554" t="s">
        <v>113</v>
      </c>
      <c r="Y29" s="555"/>
      <c r="Z29" s="554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517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517" t="s">
        <v>45</v>
      </c>
      <c r="B33" s="517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558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517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517" t="s">
        <v>36</v>
      </c>
      <c r="B35" s="518"/>
      <c r="C35" s="518"/>
      <c r="D35" s="518"/>
      <c r="E35" s="519"/>
      <c r="F35" s="520">
        <v>20.11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335</v>
      </c>
      <c r="X35" s="530" t="s">
        <v>336</v>
      </c>
      <c r="Y35" s="530" t="s">
        <v>333</v>
      </c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7.9863779515693976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(W24+W29)/2</f>
        <v>3.2030965999999999E-5</v>
      </c>
      <c r="W36" s="838">
        <v>1.9599999999999999E-5</v>
      </c>
      <c r="X36" s="838"/>
      <c r="Y36" s="838"/>
      <c r="Z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0"/>
  <dimension ref="A1:AE36"/>
  <sheetViews>
    <sheetView topLeftCell="E21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45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201.2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3.3</v>
      </c>
      <c r="F15" s="194">
        <f t="shared" si="13"/>
        <v>1.6566265060240966</v>
      </c>
      <c r="G15" s="195">
        <f t="shared" si="14"/>
        <v>98.343373493975903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15.3</v>
      </c>
      <c r="F16" s="170">
        <f t="shared" si="13"/>
        <v>7.6807228915662664</v>
      </c>
      <c r="G16" s="176">
        <f t="shared" si="14"/>
        <v>90.662650602409641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4.8</v>
      </c>
      <c r="F17" s="170">
        <f t="shared" si="13"/>
        <v>2.4096385542168677</v>
      </c>
      <c r="G17" s="182">
        <f t="shared" si="14"/>
        <v>88.253012048192772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28.1</v>
      </c>
      <c r="F18" s="170">
        <f t="shared" si="13"/>
        <v>14.106425702811245</v>
      </c>
      <c r="G18" s="182">
        <f t="shared" si="14"/>
        <v>74.146586345381522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42.9</v>
      </c>
      <c r="F19" s="170">
        <f t="shared" si="13"/>
        <v>21.536144578313255</v>
      </c>
      <c r="G19" s="182">
        <f t="shared" si="14"/>
        <v>52.610441767068266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21.1</v>
      </c>
      <c r="F20" s="170">
        <f t="shared" si="13"/>
        <v>10.592369477911648</v>
      </c>
      <c r="G20" s="182">
        <f t="shared" si="14"/>
        <v>42.018072289156621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1.3442000000000001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9.6999999999999993</v>
      </c>
      <c r="F21" s="170">
        <f t="shared" si="13"/>
        <v>4.8694779116465865</v>
      </c>
      <c r="G21" s="182">
        <f t="shared" si="14"/>
        <v>37.148594377510037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9.11E-2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31</v>
      </c>
      <c r="F22" s="170">
        <f t="shared" si="13"/>
        <v>15.562248995983937</v>
      </c>
      <c r="G22" s="182">
        <f t="shared" si="14"/>
        <v>21.586345381526101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14.755214050493963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20.6</v>
      </c>
      <c r="F23" s="170">
        <f t="shared" si="13"/>
        <v>10.34136546184739</v>
      </c>
      <c r="G23" s="211">
        <f t="shared" si="14"/>
        <v>11.244979919678711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10</v>
      </c>
      <c r="F24" s="213">
        <f t="shared" si="13"/>
        <v>5.0200803212851408</v>
      </c>
      <c r="G24" s="214">
        <f t="shared" si="14"/>
        <v>6.22489959839357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9.9158961079999969E-5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12.4</v>
      </c>
      <c r="F25" s="170">
        <f t="shared" si="13"/>
        <v>6.2248995983935744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199.2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</v>
      </c>
      <c r="F27" s="310">
        <f>IF((E27/G6*100)&gt;1,"Fehler zu groß",(E27/G6*100))</f>
        <v>0.99403578528827041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7.0566522787999994E-6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5.9500000000000003E-5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7.9329480539999989E-5</v>
      </c>
      <c r="W36" s="838">
        <v>7.1279999999999995E-5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1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46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474.7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41.5</v>
      </c>
      <c r="F13" s="170">
        <f t="shared" si="13"/>
        <v>8.7905104850667239</v>
      </c>
      <c r="G13" s="182">
        <f t="shared" si="14"/>
        <v>91.209489514933281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73.2</v>
      </c>
      <c r="F14" s="170">
        <f t="shared" si="13"/>
        <v>15.50518957847914</v>
      </c>
      <c r="G14" s="182">
        <f t="shared" si="14"/>
        <v>75.704299936454134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50.8</v>
      </c>
      <c r="F15" s="194">
        <f t="shared" si="13"/>
        <v>10.760432111840714</v>
      </c>
      <c r="G15" s="195">
        <f t="shared" si="14"/>
        <v>64.94386782461342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5.4</v>
      </c>
      <c r="F16" s="170">
        <f t="shared" si="13"/>
        <v>1.1438254607074776</v>
      </c>
      <c r="G16" s="176">
        <f t="shared" si="14"/>
        <v>63.800042363905945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33.299999999999997</v>
      </c>
      <c r="F17" s="170">
        <f t="shared" si="13"/>
        <v>7.0535903410294436</v>
      </c>
      <c r="G17" s="182">
        <f t="shared" si="14"/>
        <v>56.746452022876504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20.9</v>
      </c>
      <c r="F18" s="170">
        <f t="shared" si="13"/>
        <v>4.4270281719974589</v>
      </c>
      <c r="G18" s="182">
        <f t="shared" si="14"/>
        <v>52.319423850879048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17.7</v>
      </c>
      <c r="F19" s="170">
        <f t="shared" si="13"/>
        <v>3.7492056767633981</v>
      </c>
      <c r="G19" s="182">
        <f t="shared" si="14"/>
        <v>48.570218174115652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9.6</v>
      </c>
      <c r="F20" s="170">
        <f t="shared" si="13"/>
        <v>2.0334674857021824</v>
      </c>
      <c r="G20" s="182">
        <f t="shared" si="14"/>
        <v>46.53675068841347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4.9000000000000004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9.5</v>
      </c>
      <c r="F21" s="170">
        <f t="shared" si="13"/>
        <v>2.0122855327261178</v>
      </c>
      <c r="G21" s="182">
        <f t="shared" si="14"/>
        <v>44.524465155687352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9.0499999999999997E-2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81.900000000000006</v>
      </c>
      <c r="F22" s="170">
        <f t="shared" si="13"/>
        <v>17.348019487396744</v>
      </c>
      <c r="G22" s="182">
        <f t="shared" si="14"/>
        <v>27.176445668290608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54.143646408839786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74.900000000000006</v>
      </c>
      <c r="F23" s="170">
        <f t="shared" si="13"/>
        <v>15.865282779072235</v>
      </c>
      <c r="G23" s="211">
        <f t="shared" si="14"/>
        <v>11.311162889218373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28.7</v>
      </c>
      <c r="F24" s="213">
        <f t="shared" si="13"/>
        <v>6.0792205041304817</v>
      </c>
      <c r="G24" s="214">
        <f t="shared" si="14"/>
        <v>5.2319423850878914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9.7857106999999974E-5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24.7</v>
      </c>
      <c r="F25" s="170">
        <f t="shared" si="13"/>
        <v>5.2319423850879057</v>
      </c>
      <c r="G25" s="176">
        <f>G24-F25</f>
        <v>-1.4210854715202004E-14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472.09999999999991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2.6000000000000796</v>
      </c>
      <c r="F27" s="310">
        <f>IF((E27/G6*100)&gt;1,"Fehler zu groß",(E27/G6*100))</f>
        <v>0.54771434590269219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6.9640057699999993E-6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4.8999999999999998E-5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7.3428553499999986E-5</v>
      </c>
      <c r="W36" s="838">
        <v>2.6370000000000001E-4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2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47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828.4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132.1</v>
      </c>
      <c r="F13" s="170">
        <f t="shared" si="13"/>
        <v>15.959888848616648</v>
      </c>
      <c r="G13" s="182">
        <f t="shared" si="14"/>
        <v>84.040111151383357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274.3</v>
      </c>
      <c r="F14" s="170">
        <f t="shared" si="13"/>
        <v>33.140026579678633</v>
      </c>
      <c r="G14" s="182">
        <f t="shared" si="14"/>
        <v>50.900084571704724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21.5</v>
      </c>
      <c r="F15" s="194">
        <f t="shared" si="13"/>
        <v>2.5975595022351095</v>
      </c>
      <c r="G15" s="195">
        <f t="shared" si="14"/>
        <v>48.302525069469617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2.5</v>
      </c>
      <c r="F16" s="170">
        <f t="shared" si="13"/>
        <v>0.30204180258547786</v>
      </c>
      <c r="G16" s="176">
        <f t="shared" si="14"/>
        <v>48.000483266884139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73.5</v>
      </c>
      <c r="F17" s="170">
        <f t="shared" si="13"/>
        <v>8.8800289960130492</v>
      </c>
      <c r="G17" s="182">
        <f t="shared" si="14"/>
        <v>39.120454270871093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61.9</v>
      </c>
      <c r="F18" s="170">
        <f t="shared" si="13"/>
        <v>7.4785550320164322</v>
      </c>
      <c r="G18" s="182">
        <f t="shared" si="14"/>
        <v>31.641899238854663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62.4</v>
      </c>
      <c r="F19" s="170">
        <f t="shared" si="13"/>
        <v>7.5389633925335264</v>
      </c>
      <c r="G19" s="182">
        <f t="shared" si="14"/>
        <v>24.102935846321138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38.1</v>
      </c>
      <c r="F20" s="170">
        <f t="shared" si="13"/>
        <v>4.603117071402683</v>
      </c>
      <c r="G20" s="182">
        <f t="shared" si="14"/>
        <v>19.499818774918456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22.5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47.6</v>
      </c>
      <c r="F21" s="170">
        <f t="shared" si="13"/>
        <v>5.7508759212274985</v>
      </c>
      <c r="G21" s="182">
        <f t="shared" si="14"/>
        <v>13.748942853690957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0.28999999999999998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68.5</v>
      </c>
      <c r="F22" s="170">
        <f t="shared" si="13"/>
        <v>8.275945390842093</v>
      </c>
      <c r="G22" s="182">
        <f t="shared" si="14"/>
        <v>5.4729974628488645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77.58620689655173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22.1</v>
      </c>
      <c r="F23" s="170">
        <f t="shared" si="13"/>
        <v>2.6700495348556244</v>
      </c>
      <c r="G23" s="211">
        <f t="shared" si="14"/>
        <v>2.8029479279932401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9.3000000000000007</v>
      </c>
      <c r="F24" s="213">
        <f t="shared" si="13"/>
        <v>1.1235955056179776</v>
      </c>
      <c r="G24" s="214">
        <f t="shared" si="14"/>
        <v>1.6793524223752625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1.0048267999999997E-3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13.9</v>
      </c>
      <c r="F25" s="170">
        <f t="shared" si="13"/>
        <v>1.6793524223752569</v>
      </c>
      <c r="G25" s="176">
        <f>G24-F25</f>
        <v>5.5511151231257827E-15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827.69999999999993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0.70000000000004547</v>
      </c>
      <c r="F27" s="310">
        <f>IF((E27/G6*100)&gt;1,"Fehler zu groß",(E27/G6*100))</f>
        <v>8.4500241429266723E-2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7.1508547999999999E-5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5.0500000000000002E-4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7.5491339999999988E-4</v>
      </c>
      <c r="W36" s="838">
        <v>1.9269999999999999E-3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3"/>
  <dimension ref="A1:AE36"/>
  <sheetViews>
    <sheetView topLeftCell="D19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48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2469.3000000000002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649</v>
      </c>
      <c r="F14" s="170">
        <f t="shared" si="13"/>
        <v>26.326464384228458</v>
      </c>
      <c r="G14" s="182">
        <f t="shared" si="14"/>
        <v>73.673535615771542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471.5</v>
      </c>
      <c r="F15" s="194">
        <f t="shared" si="13"/>
        <v>19.126237222132076</v>
      </c>
      <c r="G15" s="195">
        <f t="shared" si="14"/>
        <v>54.547298393639466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107</v>
      </c>
      <c r="F16" s="170">
        <f t="shared" si="13"/>
        <v>4.3404186272919025</v>
      </c>
      <c r="G16" s="176">
        <f t="shared" si="14"/>
        <v>50.206879766347562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187.4</v>
      </c>
      <c r="F17" s="170">
        <f t="shared" si="13"/>
        <v>7.6018172967710518</v>
      </c>
      <c r="G17" s="182">
        <f t="shared" si="14"/>
        <v>42.605062469576509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219.9</v>
      </c>
      <c r="F18" s="170">
        <f t="shared" si="13"/>
        <v>8.9201687489858816</v>
      </c>
      <c r="G18" s="182">
        <f t="shared" si="14"/>
        <v>33.68489372059063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208</v>
      </c>
      <c r="F19" s="170">
        <f t="shared" si="13"/>
        <v>8.4374492941749129</v>
      </c>
      <c r="G19" s="182">
        <f t="shared" si="14"/>
        <v>25.247444426415719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224.9</v>
      </c>
      <c r="F20" s="170">
        <f t="shared" si="13"/>
        <v>9.1229920493266246</v>
      </c>
      <c r="G20" s="182">
        <f t="shared" si="14"/>
        <v>16.124452377089092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11.5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166.9</v>
      </c>
      <c r="F21" s="170">
        <f t="shared" si="13"/>
        <v>6.7702417653740063</v>
      </c>
      <c r="G21" s="182">
        <f t="shared" si="14"/>
        <v>9.3542106117150858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0.41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105.9</v>
      </c>
      <c r="F22" s="170">
        <f t="shared" si="13"/>
        <v>4.2957975012169394</v>
      </c>
      <c r="G22" s="182">
        <f t="shared" si="14"/>
        <v>5.0584131104981465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28.04878048780488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36.6</v>
      </c>
      <c r="F23" s="170">
        <f t="shared" si="13"/>
        <v>1.4846665584942398</v>
      </c>
      <c r="G23" s="211">
        <f t="shared" si="14"/>
        <v>3.5737465520039065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60.6</v>
      </c>
      <c r="F24" s="213">
        <f t="shared" si="13"/>
        <v>2.4582184001298066</v>
      </c>
      <c r="G24" s="214">
        <f t="shared" si="14"/>
        <v>1.1155281518740998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2.0084587999999993E-3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27.5</v>
      </c>
      <c r="F25" s="170">
        <f t="shared" si="13"/>
        <v>1.1155281518740872</v>
      </c>
      <c r="G25" s="176">
        <f>G24-F25</f>
        <v>1.2656542480726785E-14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2465.2000000000003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4.0999999999999091</v>
      </c>
      <c r="F27" s="310">
        <f>IF((E27/G6*100)&gt;1,"Fehler zu groß",(E27/G6*100))</f>
        <v>0.16603895840926208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1.4293206799999997E-4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1E-3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1.5042293999999996E-3</v>
      </c>
      <c r="W36" s="838">
        <v>1.9740000000000001E-3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4"/>
  <dimension ref="A1:AE36"/>
  <sheetViews>
    <sheetView topLeftCell="A16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49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218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0</v>
      </c>
      <c r="F15" s="194">
        <f t="shared" si="13"/>
        <v>0</v>
      </c>
      <c r="G15" s="195">
        <f t="shared" si="14"/>
        <v>100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49.8</v>
      </c>
      <c r="F16" s="170">
        <f t="shared" si="13"/>
        <v>22.907083716651336</v>
      </c>
      <c r="G16" s="176">
        <f t="shared" si="14"/>
        <v>77.092916283348671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11.8</v>
      </c>
      <c r="F17" s="170">
        <f t="shared" si="13"/>
        <v>5.4277828886844537</v>
      </c>
      <c r="G17" s="182">
        <f t="shared" si="14"/>
        <v>71.665133394664224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16.5</v>
      </c>
      <c r="F18" s="170">
        <f t="shared" si="13"/>
        <v>7.5896964121435149</v>
      </c>
      <c r="G18" s="182">
        <f t="shared" si="14"/>
        <v>64.075436982520714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15.7</v>
      </c>
      <c r="F19" s="170">
        <f t="shared" si="13"/>
        <v>7.2217111315547378</v>
      </c>
      <c r="G19" s="182">
        <f t="shared" si="14"/>
        <v>56.853725850965972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22</v>
      </c>
      <c r="F20" s="170">
        <f t="shared" si="13"/>
        <v>10.119595216191353</v>
      </c>
      <c r="G20" s="182">
        <f t="shared" si="14"/>
        <v>46.734130634774615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1.4306000000000001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24.4</v>
      </c>
      <c r="F21" s="170">
        <f t="shared" si="13"/>
        <v>11.223551057957684</v>
      </c>
      <c r="G21" s="182">
        <f t="shared" si="14"/>
        <v>35.51057957681693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0.23269999999999999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66.599999999999994</v>
      </c>
      <c r="F22" s="170">
        <f t="shared" si="13"/>
        <v>30.63477460901564</v>
      </c>
      <c r="G22" s="182">
        <f t="shared" si="14"/>
        <v>4.8758049678012902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6.147829823807478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3.5</v>
      </c>
      <c r="F23" s="170">
        <f t="shared" si="13"/>
        <v>1.6099356025758971</v>
      </c>
      <c r="G23" s="211">
        <f t="shared" si="14"/>
        <v>3.2658693652253934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4.9000000000000004</v>
      </c>
      <c r="F24" s="213">
        <f t="shared" si="13"/>
        <v>2.2539098436062561</v>
      </c>
      <c r="G24" s="214">
        <f t="shared" si="14"/>
        <v>1.0119595216191373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6.4697571691999976E-4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2.2000000000000002</v>
      </c>
      <c r="F25" s="170">
        <f t="shared" si="13"/>
        <v>1.0119595216191355</v>
      </c>
      <c r="G25" s="176">
        <f>G24-F25</f>
        <v>1.7763568394002505E-15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217.39999999999998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0.60000000000002274</v>
      </c>
      <c r="F27" s="310">
        <f>IF((E27/G6*100)&gt;1,"Fehler zu groß",(E27/G6*100))</f>
        <v>0.27522935779817559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4.6042058301199992E-5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3.6499999999999998E-4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5.0598785845999987E-4</v>
      </c>
      <c r="W36" s="838">
        <v>4.4759999999999998E-4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5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50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223.7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41.2</v>
      </c>
      <c r="F14" s="170">
        <f t="shared" si="13"/>
        <v>18.541854185418543</v>
      </c>
      <c r="G14" s="182">
        <f t="shared" si="14"/>
        <v>81.458145814581457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63.1</v>
      </c>
      <c r="F15" s="194">
        <f t="shared" si="13"/>
        <v>28.397839783978402</v>
      </c>
      <c r="G15" s="195">
        <f t="shared" si="14"/>
        <v>53.060306030603059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34.1</v>
      </c>
      <c r="F16" s="170">
        <f t="shared" si="13"/>
        <v>15.34653465346535</v>
      </c>
      <c r="G16" s="176">
        <f t="shared" si="14"/>
        <v>37.713771377137711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0.9</v>
      </c>
      <c r="F17" s="170">
        <f t="shared" si="13"/>
        <v>0.40504050405040504</v>
      </c>
      <c r="G17" s="182">
        <f t="shared" si="14"/>
        <v>37.308730873087306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16.7</v>
      </c>
      <c r="F18" s="170">
        <f t="shared" si="13"/>
        <v>7.5157515751575161</v>
      </c>
      <c r="G18" s="182">
        <f t="shared" si="14"/>
        <v>29.79297929792979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15.2</v>
      </c>
      <c r="F19" s="170">
        <f t="shared" si="13"/>
        <v>6.8406840684068406</v>
      </c>
      <c r="G19" s="182">
        <f t="shared" si="14"/>
        <v>22.952295229522949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11.2</v>
      </c>
      <c r="F20" s="170">
        <f t="shared" si="13"/>
        <v>5.0405040504050405</v>
      </c>
      <c r="G20" s="182">
        <f t="shared" si="14"/>
        <v>17.911791179117909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11.5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2.6</v>
      </c>
      <c r="F21" s="170">
        <f t="shared" si="13"/>
        <v>1.1701170117011703</v>
      </c>
      <c r="G21" s="182">
        <f t="shared" si="14"/>
        <v>16.74167416741674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0.27500000000000002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27.3</v>
      </c>
      <c r="F22" s="170">
        <f t="shared" si="13"/>
        <v>12.286228622862287</v>
      </c>
      <c r="G22" s="182">
        <f t="shared" si="14"/>
        <v>4.4554455445544523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41.818181818181813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6.4</v>
      </c>
      <c r="F23" s="170">
        <f t="shared" si="13"/>
        <v>2.8802880288028807</v>
      </c>
      <c r="G23" s="211">
        <f t="shared" si="14"/>
        <v>1.5751575157515716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1.4</v>
      </c>
      <c r="F24" s="213">
        <f t="shared" si="13"/>
        <v>0.63006300630063006</v>
      </c>
      <c r="G24" s="214">
        <f t="shared" si="14"/>
        <v>0.94509450945094153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9.0356749999999993E-4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2.1</v>
      </c>
      <c r="F25" s="170">
        <f t="shared" si="13"/>
        <v>0.94509450945094509</v>
      </c>
      <c r="G25" s="176">
        <f>G24-F25</f>
        <v>-3.5527136788005009E-15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222.2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1.5</v>
      </c>
      <c r="F27" s="310">
        <f>IF((E27/G6*100)&gt;1,"Fehler zu groß",(E27/G6*100))</f>
        <v>0.67054090299508273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6.4302425000000018E-5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4.4000000000000002E-4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6.7178374999999995E-4</v>
      </c>
      <c r="W36" s="838">
        <v>1.915E-3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6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51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588.5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69.3</v>
      </c>
      <c r="F13" s="170">
        <f t="shared" si="13"/>
        <v>11.797752808988763</v>
      </c>
      <c r="G13" s="182">
        <f t="shared" si="14"/>
        <v>88.202247191011239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131</v>
      </c>
      <c r="F14" s="170">
        <f t="shared" si="13"/>
        <v>22.301668369084101</v>
      </c>
      <c r="G14" s="182">
        <f t="shared" si="14"/>
        <v>65.900578821927141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87</v>
      </c>
      <c r="F15" s="194">
        <f t="shared" si="13"/>
        <v>14.811031664964251</v>
      </c>
      <c r="G15" s="195">
        <f t="shared" si="14"/>
        <v>51.089547156962894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22</v>
      </c>
      <c r="F16" s="170">
        <f t="shared" si="13"/>
        <v>3.7453183520599254</v>
      </c>
      <c r="G16" s="176">
        <f t="shared" si="14"/>
        <v>47.344228804902968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31.3</v>
      </c>
      <c r="F17" s="170">
        <f t="shared" si="13"/>
        <v>5.3285665645216209</v>
      </c>
      <c r="G17" s="182">
        <f t="shared" si="14"/>
        <v>42.015662240381346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49.2</v>
      </c>
      <c r="F18" s="170">
        <f t="shared" si="13"/>
        <v>8.3758937691521975</v>
      </c>
      <c r="G18" s="182">
        <f t="shared" si="14"/>
        <v>33.639768471229146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47.9</v>
      </c>
      <c r="F19" s="170">
        <f t="shared" si="13"/>
        <v>8.1545795028941104</v>
      </c>
      <c r="G19" s="182">
        <f t="shared" si="14"/>
        <v>25.485188968335038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55</v>
      </c>
      <c r="F20" s="170">
        <f t="shared" si="13"/>
        <v>9.3632958801498134</v>
      </c>
      <c r="G20" s="182">
        <f t="shared" si="14"/>
        <v>16.121893088185224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11.5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22.5</v>
      </c>
      <c r="F21" s="170">
        <f t="shared" si="13"/>
        <v>3.8304392236976508</v>
      </c>
      <c r="G21" s="182">
        <f t="shared" si="14"/>
        <v>12.291453864487574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0.27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56.5</v>
      </c>
      <c r="F22" s="170">
        <f t="shared" si="13"/>
        <v>9.6186584950629896</v>
      </c>
      <c r="G22" s="182">
        <f t="shared" si="14"/>
        <v>2.6727953694245841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42.592592592592588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6.4</v>
      </c>
      <c r="F23" s="170">
        <f t="shared" si="13"/>
        <v>1.0895471569628874</v>
      </c>
      <c r="G23" s="211">
        <f t="shared" si="14"/>
        <v>1.5832482124616967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5</v>
      </c>
      <c r="F24" s="213">
        <f t="shared" si="13"/>
        <v>0.85120871637725581</v>
      </c>
      <c r="G24" s="214">
        <f t="shared" si="14"/>
        <v>0.73203949608444085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8.7100919999999991E-4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4.3</v>
      </c>
      <c r="F25" s="170">
        <f t="shared" si="13"/>
        <v>0.73203949608443986</v>
      </c>
      <c r="G25" s="176">
        <f>G24-F25</f>
        <v>9.9920072216264089E-16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587.4</v>
      </c>
      <c r="F26" s="305">
        <f>SUM(F12:F25)</f>
        <v>100.00000000000003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1.1000000000000227</v>
      </c>
      <c r="F27" s="310">
        <f>IF((E27/G6*100)&gt;1,"Fehler zu groß",(E27/G6*100))</f>
        <v>0.18691588785047117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6.1985412000000004E-5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4.2000000000000002E-4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6.4550459999999997E-4</v>
      </c>
      <c r="W36" s="838">
        <v>2.9020000000000001E-3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7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52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2259.6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148.9</v>
      </c>
      <c r="F13" s="170">
        <f t="shared" si="13"/>
        <v>6.6213091426538613</v>
      </c>
      <c r="G13" s="182">
        <f t="shared" si="14"/>
        <v>93.378690857346143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390.6</v>
      </c>
      <c r="F14" s="170">
        <f t="shared" si="13"/>
        <v>17.369263607257206</v>
      </c>
      <c r="G14" s="182">
        <f t="shared" si="14"/>
        <v>76.009427250088933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286.3</v>
      </c>
      <c r="F15" s="194">
        <f t="shared" si="13"/>
        <v>12.731234436143723</v>
      </c>
      <c r="G15" s="195">
        <f t="shared" si="14"/>
        <v>63.278192813945211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81.099999999999994</v>
      </c>
      <c r="F16" s="170">
        <f t="shared" si="13"/>
        <v>3.6063678406261115</v>
      </c>
      <c r="G16" s="176">
        <f t="shared" si="14"/>
        <v>59.671824973319097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160.1</v>
      </c>
      <c r="F17" s="170">
        <f t="shared" si="13"/>
        <v>7.1193525435787981</v>
      </c>
      <c r="G17" s="182">
        <f t="shared" si="14"/>
        <v>52.552472429740298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226.8</v>
      </c>
      <c r="F18" s="170">
        <f t="shared" si="13"/>
        <v>10.085378868729991</v>
      </c>
      <c r="G18" s="182">
        <f t="shared" si="14"/>
        <v>42.467093561010309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257.3</v>
      </c>
      <c r="F19" s="170">
        <f t="shared" si="13"/>
        <v>11.44165777303451</v>
      </c>
      <c r="G19" s="182">
        <f t="shared" si="14"/>
        <v>31.025435787975798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256.2</v>
      </c>
      <c r="F20" s="170">
        <f t="shared" si="13"/>
        <v>11.392742796157952</v>
      </c>
      <c r="G20" s="182">
        <f t="shared" si="14"/>
        <v>19.632692991817848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6.6082999999999998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185.7</v>
      </c>
      <c r="F21" s="170">
        <f t="shared" si="13"/>
        <v>8.2577374599786566</v>
      </c>
      <c r="G21" s="182">
        <f t="shared" si="14"/>
        <v>11.374955531839191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0.36820000000000003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197.7</v>
      </c>
      <c r="F22" s="170">
        <f t="shared" si="13"/>
        <v>8.7913553895410885</v>
      </c>
      <c r="G22" s="182">
        <f t="shared" si="14"/>
        <v>2.5836001422981028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17.947582835415535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33.799999999999997</v>
      </c>
      <c r="F23" s="170">
        <f t="shared" si="13"/>
        <v>1.5030238349341871</v>
      </c>
      <c r="G23" s="211">
        <f t="shared" si="14"/>
        <v>1.0805763073639156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9.1999999999999993</v>
      </c>
      <c r="F24" s="213">
        <f t="shared" si="13"/>
        <v>0.40910707933119889</v>
      </c>
      <c r="G24" s="214">
        <f t="shared" si="14"/>
        <v>0.6714692280327168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1.6198051755199996E-3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15.1</v>
      </c>
      <c r="F25" s="170">
        <f t="shared" si="13"/>
        <v>0.67146922803272857</v>
      </c>
      <c r="G25" s="176">
        <f>G24-F25</f>
        <v>-1.1768364061026659E-14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2248.7999999999997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10.800000000000182</v>
      </c>
      <c r="F27" s="310">
        <f>IF((E27/G6*100)&gt;1,"Fehler zu groß",(E27/G6*100))</f>
        <v>0.47796070100903626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1.1527351394720002E-4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8.0000000000000004E-4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1.2099025877599999E-3</v>
      </c>
      <c r="W36" s="838">
        <v>1.1509999999999999E-3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8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53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1948.7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63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40</v>
      </c>
      <c r="C13" s="179" t="s">
        <v>21</v>
      </c>
      <c r="D13" s="180"/>
      <c r="E13" s="181">
        <v>63.3</v>
      </c>
      <c r="F13" s="170">
        <f t="shared" si="13"/>
        <v>3.253495065789473</v>
      </c>
      <c r="G13" s="182">
        <f t="shared" si="14"/>
        <v>96.74650493421052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171.7</v>
      </c>
      <c r="F14" s="170">
        <f t="shared" si="13"/>
        <v>8.8250411184210513</v>
      </c>
      <c r="G14" s="182">
        <f t="shared" si="14"/>
        <v>87.921463815789465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183.3</v>
      </c>
      <c r="F15" s="194">
        <f t="shared" si="13"/>
        <v>9.4212582236842088</v>
      </c>
      <c r="G15" s="195">
        <f t="shared" si="14"/>
        <v>78.50020559210526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45.3</v>
      </c>
      <c r="F16" s="170">
        <f t="shared" si="13"/>
        <v>2.3283305921052628</v>
      </c>
      <c r="G16" s="176">
        <f t="shared" si="14"/>
        <v>76.171875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72.3</v>
      </c>
      <c r="F17" s="170">
        <f t="shared" si="13"/>
        <v>3.7160773026315783</v>
      </c>
      <c r="G17" s="182">
        <f t="shared" si="14"/>
        <v>72.455797697368425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123.4</v>
      </c>
      <c r="F18" s="170">
        <f t="shared" si="13"/>
        <v>6.3425164473684195</v>
      </c>
      <c r="G18" s="182">
        <f t="shared" si="14"/>
        <v>66.11328125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376.6</v>
      </c>
      <c r="F19" s="170">
        <f t="shared" si="13"/>
        <v>19.356496710526315</v>
      </c>
      <c r="G19" s="182">
        <f t="shared" si="14"/>
        <v>46.756784539473685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633.20000000000005</v>
      </c>
      <c r="F20" s="170">
        <f t="shared" si="13"/>
        <v>32.54523026315789</v>
      </c>
      <c r="G20" s="182">
        <f t="shared" si="14"/>
        <v>14.211554276315795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1.6803999999999999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176.7</v>
      </c>
      <c r="F21" s="170">
        <f t="shared" si="13"/>
        <v>9.0820312499999964</v>
      </c>
      <c r="G21" s="182">
        <f t="shared" si="14"/>
        <v>5.1295230263157983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0.52129999999999999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71</v>
      </c>
      <c r="F22" s="170">
        <f t="shared" si="13"/>
        <v>3.6492598684210522</v>
      </c>
      <c r="G22" s="182">
        <f t="shared" si="14"/>
        <v>1.4802631578947461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3.2234797621331288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11.7</v>
      </c>
      <c r="F23" s="170">
        <f t="shared" si="13"/>
        <v>0.60135690789473673</v>
      </c>
      <c r="G23" s="211">
        <f t="shared" si="14"/>
        <v>0.87890625000000933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6.4</v>
      </c>
      <c r="F24" s="213">
        <f t="shared" si="13"/>
        <v>0.32894736842105254</v>
      </c>
      <c r="G24" s="214">
        <f t="shared" si="14"/>
        <v>0.54995888157895678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3.2469130881199989E-3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10.7</v>
      </c>
      <c r="F25" s="170">
        <f t="shared" si="13"/>
        <v>0.54995888157894723</v>
      </c>
      <c r="G25" s="176">
        <f>G24-F25</f>
        <v>9.5479180117763462E-15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147">
        <v>1948.7</v>
      </c>
      <c r="D26" s="735" t="s">
        <v>19</v>
      </c>
      <c r="E26" s="221">
        <f>SUM(E12:E25)</f>
        <v>1945.6000000000004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1.3899999999999999E-2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3.0999999999996817</v>
      </c>
      <c r="F27" s="310">
        <f>IF((E27/G6*100)&gt;1,"Fehler zu groß",(E27/G6*100))</f>
        <v>0.15908041258273115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2.7688168213029995E-3</v>
      </c>
      <c r="X27" s="836" t="str">
        <f>IF(W22&lt;5.000001,"OK","U größer 5")</f>
        <v>OK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2.3999999999999998E-3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(W24+W27+Y29)/3</f>
        <v>2.8052433031409991E-3</v>
      </c>
      <c r="W36" s="838">
        <v>2.1870000000000001E-3</v>
      </c>
      <c r="X36" s="530"/>
      <c r="Y36" s="530"/>
    </row>
  </sheetData>
  <sheetProtection selectLockedCells="1"/>
  <protectedRanges>
    <protectedRange password="C4F2" sqref="E3:E4 C3:C6 D5:D6 G3:G6 F5 C26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49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416.4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thickBot="1" x14ac:dyDescent="0.25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66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72">
        <v>30</v>
      </c>
      <c r="C13" s="179" t="s">
        <v>21</v>
      </c>
      <c r="D13" s="180"/>
      <c r="E13" s="181">
        <v>30.3</v>
      </c>
      <c r="F13" s="170">
        <f t="shared" si="13"/>
        <v>7.2801537722248897</v>
      </c>
      <c r="G13" s="182">
        <f t="shared" si="14"/>
        <v>92.719846227775108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49.4</v>
      </c>
      <c r="F14" s="170">
        <f t="shared" si="13"/>
        <v>11.869293608841899</v>
      </c>
      <c r="G14" s="182">
        <f t="shared" si="14"/>
        <v>80.850552618933207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43.6</v>
      </c>
      <c r="F15" s="194">
        <f t="shared" si="13"/>
        <v>10.475732820759248</v>
      </c>
      <c r="G15" s="195">
        <f t="shared" si="14"/>
        <v>70.374819798173959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16.800000000000011</v>
      </c>
      <c r="F16" s="170">
        <f t="shared" si="13"/>
        <v>4.036520903411823</v>
      </c>
      <c r="G16" s="176">
        <f t="shared" si="14"/>
        <v>66.338298894762133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17.700000000000045</v>
      </c>
      <c r="F17" s="170">
        <f t="shared" si="13"/>
        <v>4.2527630946660357</v>
      </c>
      <c r="G17" s="182">
        <f t="shared" si="14"/>
        <v>62.085535800096096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23.399999999999977</v>
      </c>
      <c r="F18" s="170">
        <f t="shared" si="13"/>
        <v>5.6222969726093153</v>
      </c>
      <c r="G18" s="182">
        <f t="shared" si="14"/>
        <v>56.463238827486784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23.900000000000034</v>
      </c>
      <c r="F19" s="170">
        <f t="shared" si="13"/>
        <v>5.7424315233061094</v>
      </c>
      <c r="G19" s="182">
        <f t="shared" si="14"/>
        <v>50.720807304180674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0.63</v>
      </c>
      <c r="C20" s="179">
        <v>376.2</v>
      </c>
      <c r="D20" s="207"/>
      <c r="E20" s="209">
        <v>22.600000000000023</v>
      </c>
      <c r="F20" s="170">
        <f t="shared" si="13"/>
        <v>5.4300816914944781</v>
      </c>
      <c r="G20" s="182">
        <f t="shared" si="14"/>
        <v>45.290725612686195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3.05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30.399999999999977</v>
      </c>
      <c r="F21" s="170">
        <f t="shared" si="13"/>
        <v>7.3041806823642403</v>
      </c>
      <c r="G21" s="182">
        <f t="shared" si="14"/>
        <v>37.986544930321955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0.08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60.600000000000023</v>
      </c>
      <c r="F22" s="170">
        <f t="shared" si="13"/>
        <v>14.560307544449785</v>
      </c>
      <c r="G22" s="182">
        <f t="shared" si="14"/>
        <v>23.42623738587217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38.125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43.5</v>
      </c>
      <c r="F23" s="170">
        <f t="shared" si="13"/>
        <v>10.451705910619893</v>
      </c>
      <c r="G23" s="211">
        <f t="shared" si="14"/>
        <v>12.974531475252277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24</v>
      </c>
      <c r="F24" s="213">
        <f t="shared" si="13"/>
        <v>5.7664584334454574</v>
      </c>
      <c r="G24" s="214">
        <f t="shared" si="14"/>
        <v>7.20807304180682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7.6467199999999985E-5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30</v>
      </c>
      <c r="F25" s="170">
        <f t="shared" si="13"/>
        <v>7.2080730418068217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416.2000000000001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0.19999999999987494</v>
      </c>
      <c r="F27" s="310">
        <f>IF((E27/G6*100)&gt;1,"Fehler zu groß",(E27/G6*100))</f>
        <v>4.8030739673360939E-2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5.4417919999999999E-6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3.7499999999999997E-5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5.6983599999999994E-5</v>
      </c>
      <c r="W36" s="838">
        <v>2.0369999999999999E-4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0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388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12.7</v>
      </c>
      <c r="F14" s="170">
        <f t="shared" si="13"/>
        <v>3.2876003106393989</v>
      </c>
      <c r="G14" s="182">
        <f t="shared" si="14"/>
        <v>96.712399689360595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25.8</v>
      </c>
      <c r="F15" s="194">
        <f t="shared" si="13"/>
        <v>6.6787470877556308</v>
      </c>
      <c r="G15" s="195">
        <f t="shared" si="14"/>
        <v>90.03365260160497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0</v>
      </c>
      <c r="F16" s="170">
        <f t="shared" si="13"/>
        <v>0</v>
      </c>
      <c r="G16" s="176">
        <f t="shared" si="14"/>
        <v>90.03365260160497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0</v>
      </c>
      <c r="F17" s="170">
        <f t="shared" si="13"/>
        <v>0</v>
      </c>
      <c r="G17" s="182">
        <f t="shared" si="14"/>
        <v>90.03365260160497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42.8</v>
      </c>
      <c r="F18" s="170">
        <f t="shared" si="13"/>
        <v>11.079471913020967</v>
      </c>
      <c r="G18" s="182">
        <f t="shared" si="14"/>
        <v>78.954180688584003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23.2</v>
      </c>
      <c r="F19" s="170">
        <f t="shared" si="13"/>
        <v>6.0056950556562256</v>
      </c>
      <c r="G19" s="182">
        <f t="shared" si="14"/>
        <v>72.94848563292777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33.799999999999997</v>
      </c>
      <c r="F20" s="170">
        <f t="shared" si="13"/>
        <v>8.7496764172922585</v>
      </c>
      <c r="G20" s="182">
        <f t="shared" si="14"/>
        <v>64.198809215635507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0.505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37.9</v>
      </c>
      <c r="F21" s="170">
        <f t="shared" si="13"/>
        <v>9.8110276986797818</v>
      </c>
      <c r="G21" s="182">
        <f t="shared" si="14"/>
        <v>54.387781516955727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7.4999999999999997E-2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72.900000000000006</v>
      </c>
      <c r="F22" s="170">
        <f t="shared" si="13"/>
        <v>18.87134351540254</v>
      </c>
      <c r="G22" s="182">
        <f t="shared" si="14"/>
        <v>35.516438001553183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6.7333333333333334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70.2</v>
      </c>
      <c r="F23" s="170">
        <f t="shared" si="13"/>
        <v>18.172404866683927</v>
      </c>
      <c r="G23" s="211">
        <f t="shared" si="14"/>
        <v>17.344033134869257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31.1</v>
      </c>
      <c r="F24" s="213">
        <f t="shared" si="13"/>
        <v>8.0507377685736472</v>
      </c>
      <c r="G24" s="214">
        <f t="shared" si="14"/>
        <v>9.2932953662956095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6.7207499999999976E-5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35.9</v>
      </c>
      <c r="F25" s="170">
        <f t="shared" si="13"/>
        <v>9.2932953662956237</v>
      </c>
      <c r="G25" s="176">
        <f>G24-F25</f>
        <v>-1.4210854715202004E-14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386.3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1.6999999999999886</v>
      </c>
      <c r="F27" s="310">
        <f>IF((E27/G6*100)&gt;1,"Fehler zu groß",(E27/G6*100))</f>
        <v>0.43814432989690427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4.7828250000000002E-6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4.5000000000000003E-5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335</v>
      </c>
      <c r="X35" s="530" t="s">
        <v>333</v>
      </c>
      <c r="Y35" s="530" t="s">
        <v>336</v>
      </c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5.6103749999999986E-5</v>
      </c>
      <c r="W36" s="838">
        <v>2.5000000000000001E-5</v>
      </c>
      <c r="X36" s="838">
        <v>2.5190000000000001E-5</v>
      </c>
      <c r="Y36" s="838">
        <v>2.48E-5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1"/>
  <dimension ref="A1:AE51"/>
  <sheetViews>
    <sheetView topLeftCell="R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62</v>
      </c>
      <c r="D3" s="385" t="s">
        <v>25</v>
      </c>
      <c r="E3" s="387">
        <v>39800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39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164</v>
      </c>
      <c r="F4" s="404"/>
      <c r="G4" s="405"/>
      <c r="H4" s="371"/>
      <c r="I4" s="406">
        <f>J4*60</f>
        <v>30</v>
      </c>
      <c r="J4" s="407">
        <v>0.5</v>
      </c>
      <c r="K4" s="408">
        <v>18</v>
      </c>
      <c r="L4" s="409">
        <v>1.01</v>
      </c>
      <c r="M4" s="407">
        <f t="shared" ref="M4:M10" si="0">(L4-1)*1000</f>
        <v>10.000000000000009</v>
      </c>
      <c r="N4" s="407">
        <f>M4+$G$33</f>
        <v>11.499999999999954</v>
      </c>
      <c r="O4" s="410">
        <v>-0.35</v>
      </c>
      <c r="P4" s="411">
        <f t="shared" ref="P4:P10" si="1">N4+O4</f>
        <v>11.149999999999954</v>
      </c>
      <c r="Q4" s="412">
        <f>((18.35*V4/($F$34-W4))*Z4)^0.5</f>
        <v>7.9045690388452758E-2</v>
      </c>
      <c r="R4" s="407">
        <f t="shared" ref="R4:R10" si="2">$F$36*P4</f>
        <v>59.25736518059459</v>
      </c>
      <c r="S4" s="413">
        <f t="shared" ref="S4:S10" si="3">$G$24/100*R4</f>
        <v>18.981338195986247</v>
      </c>
      <c r="T4" s="831">
        <f>(S4/S$13)*S$4</f>
        <v>3.1261731297673188</v>
      </c>
      <c r="U4" s="414">
        <f>1+0.001*N4</f>
        <v>1.0114999999999998</v>
      </c>
      <c r="V4" s="415">
        <f>0.00178/(1+0.0337*K4+0.00022*K4^2)</f>
        <v>1.0608625169857199E-3</v>
      </c>
      <c r="W4" s="414">
        <f>1/(1+((2.31*K4-2)^2-182)*0.00001)</f>
        <v>0.98634332312503503</v>
      </c>
      <c r="X4" s="416">
        <f>4142.8*(1.03-U4)/10</f>
        <v>7.6641800000000755</v>
      </c>
      <c r="Y4" s="417">
        <f t="shared" ref="Y4:Y12" si="4">X4+$AB$5+0.5*($AC$5-$AD$5/$AE$5)</f>
        <v>16.019397665612352</v>
      </c>
      <c r="Z4" s="418">
        <f t="shared" ref="Z4:Z12" si="5">Y4/I4</f>
        <v>0.53397992218707846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>
        <v>18</v>
      </c>
      <c r="L5" s="409">
        <v>1.0095000000000001</v>
      </c>
      <c r="M5" s="407">
        <f t="shared" si="0"/>
        <v>9.5000000000000639</v>
      </c>
      <c r="N5" s="407">
        <f t="shared" ref="N5:N12" si="6">M5+$G$33</f>
        <v>11.000000000000011</v>
      </c>
      <c r="O5" s="410">
        <v>-0.35</v>
      </c>
      <c r="P5" s="411">
        <f t="shared" si="1"/>
        <v>10.650000000000011</v>
      </c>
      <c r="Q5" s="412">
        <f t="shared" ref="Q5:Q12" si="7">((18.35*V5/($F$34-W5))*Z5)^0.5</f>
        <v>5.6253952094364061E-2</v>
      </c>
      <c r="R5" s="407">
        <f t="shared" si="2"/>
        <v>56.600084230792433</v>
      </c>
      <c r="S5" s="413">
        <f t="shared" si="3"/>
        <v>18.130157110964536</v>
      </c>
      <c r="T5" s="831">
        <f t="shared" ref="T5:T12" si="8">(S5/S$13)*S$4</f>
        <v>2.9859859939033289</v>
      </c>
      <c r="U5" s="414">
        <f t="shared" ref="U5:U12" si="9">1+0.001*N5</f>
        <v>1.0110000000000001</v>
      </c>
      <c r="V5" s="415">
        <f t="shared" ref="V5:V12" si="10">0.00178/(1+0.0337*K5+0.00022*K5^2)</f>
        <v>1.0608625169857199E-3</v>
      </c>
      <c r="W5" s="414">
        <f t="shared" ref="W5:W12" si="11">1/(1+((2.31*K5-2)^2-182)*0.00001)</f>
        <v>0.98634332312503503</v>
      </c>
      <c r="X5" s="416">
        <f t="shared" ref="X5:X12" si="12">4142.8*(1.03-U5)/10</f>
        <v>7.8713199999999617</v>
      </c>
      <c r="Y5" s="417">
        <f t="shared" si="4"/>
        <v>16.226537665612238</v>
      </c>
      <c r="Z5" s="418">
        <f t="shared" si="5"/>
        <v>0.27044229442687062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100.3</v>
      </c>
      <c r="I6" s="406">
        <f t="shared" ref="I6:I12" si="13">J6*60</f>
        <v>120</v>
      </c>
      <c r="J6" s="426">
        <v>2</v>
      </c>
      <c r="K6" s="408">
        <v>18</v>
      </c>
      <c r="L6" s="409">
        <v>1.0089999999999999</v>
      </c>
      <c r="M6" s="407">
        <f t="shared" si="0"/>
        <v>8.999999999999897</v>
      </c>
      <c r="N6" s="407">
        <f t="shared" si="6"/>
        <v>10.499999999999844</v>
      </c>
      <c r="O6" s="410">
        <v>-0.35</v>
      </c>
      <c r="P6" s="411">
        <f t="shared" si="1"/>
        <v>10.149999999999844</v>
      </c>
      <c r="Q6" s="412">
        <f t="shared" si="7"/>
        <v>4.0030636192649266E-2</v>
      </c>
      <c r="R6" s="407">
        <f t="shared" si="2"/>
        <v>53.942803280989089</v>
      </c>
      <c r="S6" s="413">
        <f t="shared" si="3"/>
        <v>17.278976025942445</v>
      </c>
      <c r="T6" s="831">
        <f t="shared" si="8"/>
        <v>2.8457988580392763</v>
      </c>
      <c r="U6" s="414">
        <f t="shared" si="9"/>
        <v>1.0105</v>
      </c>
      <c r="V6" s="415">
        <f t="shared" si="10"/>
        <v>1.0608625169857199E-3</v>
      </c>
      <c r="W6" s="414">
        <f t="shared" si="11"/>
        <v>0.98634332312503503</v>
      </c>
      <c r="X6" s="416">
        <f t="shared" si="12"/>
        <v>8.0784600000000317</v>
      </c>
      <c r="Y6" s="417">
        <f t="shared" si="4"/>
        <v>16.433677665612308</v>
      </c>
      <c r="Z6" s="418">
        <f t="shared" si="5"/>
        <v>0.13694731388010256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39">
        <v>18</v>
      </c>
      <c r="L7" s="409">
        <v>1.008</v>
      </c>
      <c r="M7" s="407">
        <f t="shared" si="0"/>
        <v>8.0000000000000071</v>
      </c>
      <c r="N7" s="407">
        <f t="shared" si="6"/>
        <v>9.4999999999999538</v>
      </c>
      <c r="O7" s="410">
        <v>-0.35</v>
      </c>
      <c r="P7" s="411">
        <f t="shared" si="1"/>
        <v>9.1499999999999542</v>
      </c>
      <c r="Q7" s="412">
        <f t="shared" si="7"/>
        <v>2.5634729378167423E-2</v>
      </c>
      <c r="R7" s="407">
        <f t="shared" si="2"/>
        <v>48.628241381384754</v>
      </c>
      <c r="S7" s="413">
        <f t="shared" si="3"/>
        <v>15.576613855899014</v>
      </c>
      <c r="T7" s="831">
        <f t="shared" si="8"/>
        <v>2.5654245863112952</v>
      </c>
      <c r="U7" s="414">
        <f t="shared" si="9"/>
        <v>1.0095000000000001</v>
      </c>
      <c r="V7" s="415">
        <f t="shared" si="10"/>
        <v>1.0608625169857199E-3</v>
      </c>
      <c r="W7" s="414">
        <f t="shared" si="11"/>
        <v>0.98634332312503503</v>
      </c>
      <c r="X7" s="416">
        <f t="shared" si="12"/>
        <v>8.4927399999999853</v>
      </c>
      <c r="Y7" s="417">
        <f t="shared" si="4"/>
        <v>16.847957665612263</v>
      </c>
      <c r="Z7" s="418">
        <f t="shared" si="5"/>
        <v>5.6159858885374211E-2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39">
        <v>18</v>
      </c>
      <c r="L8" s="409">
        <v>1.0069999999999999</v>
      </c>
      <c r="M8" s="407">
        <f t="shared" si="0"/>
        <v>6.9999999999998952</v>
      </c>
      <c r="N8" s="407">
        <f t="shared" si="6"/>
        <v>8.4999999999998401</v>
      </c>
      <c r="O8" s="410">
        <v>-0.35</v>
      </c>
      <c r="P8" s="411">
        <f t="shared" si="1"/>
        <v>8.1499999999998405</v>
      </c>
      <c r="Q8" s="412">
        <f t="shared" si="7"/>
        <v>1.498107658557366E-2</v>
      </c>
      <c r="R8" s="407">
        <f t="shared" si="2"/>
        <v>43.313679481779232</v>
      </c>
      <c r="S8" s="413">
        <f t="shared" si="3"/>
        <v>13.874251685855205</v>
      </c>
      <c r="T8" s="831">
        <f t="shared" si="8"/>
        <v>2.2850503145832515</v>
      </c>
      <c r="U8" s="414">
        <f t="shared" si="9"/>
        <v>1.0084999999999997</v>
      </c>
      <c r="V8" s="415">
        <f t="shared" si="10"/>
        <v>1.0608625169857199E-3</v>
      </c>
      <c r="W8" s="414">
        <f t="shared" si="11"/>
        <v>0.98634332312503503</v>
      </c>
      <c r="X8" s="416">
        <f t="shared" si="12"/>
        <v>8.9070200000001236</v>
      </c>
      <c r="Y8" s="417">
        <f t="shared" si="4"/>
        <v>17.2622376656124</v>
      </c>
      <c r="Z8" s="418">
        <f t="shared" si="5"/>
        <v>1.9180264072902665E-2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39">
        <v>18</v>
      </c>
      <c r="L9" s="409">
        <v>1.0055000000000001</v>
      </c>
      <c r="M9" s="407">
        <f t="shared" si="0"/>
        <v>5.5000000000000604</v>
      </c>
      <c r="N9" s="407">
        <f t="shared" si="6"/>
        <v>7.0000000000000062</v>
      </c>
      <c r="O9" s="410">
        <v>-0.35</v>
      </c>
      <c r="P9" s="411">
        <f t="shared" si="1"/>
        <v>6.6500000000000066</v>
      </c>
      <c r="Q9" s="412">
        <f t="shared" si="7"/>
        <v>8.8036349313056258E-3</v>
      </c>
      <c r="R9" s="407">
        <f t="shared" si="2"/>
        <v>35.34183663237274</v>
      </c>
      <c r="S9" s="413">
        <f t="shared" si="3"/>
        <v>11.320708430790063</v>
      </c>
      <c r="T9" s="831">
        <f t="shared" si="8"/>
        <v>1.8644889069912804</v>
      </c>
      <c r="U9" s="414">
        <f t="shared" si="9"/>
        <v>1.0070000000000001</v>
      </c>
      <c r="V9" s="415">
        <f t="shared" si="10"/>
        <v>1.0608625169857199E-3</v>
      </c>
      <c r="W9" s="414">
        <f t="shared" si="11"/>
        <v>0.98634332312503503</v>
      </c>
      <c r="X9" s="416">
        <f t="shared" si="12"/>
        <v>9.5284399999999643</v>
      </c>
      <c r="Y9" s="417">
        <f t="shared" si="4"/>
        <v>17.88365766561224</v>
      </c>
      <c r="Z9" s="418">
        <f t="shared" si="5"/>
        <v>6.6235769131897182E-3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39">
        <v>19</v>
      </c>
      <c r="L10" s="409">
        <v>1.004</v>
      </c>
      <c r="M10" s="407">
        <f t="shared" si="0"/>
        <v>4.0000000000000036</v>
      </c>
      <c r="N10" s="407">
        <f t="shared" si="6"/>
        <v>5.4999999999999494</v>
      </c>
      <c r="O10" s="564">
        <v>-0.2</v>
      </c>
      <c r="P10" s="411">
        <f t="shared" si="1"/>
        <v>5.2999999999999492</v>
      </c>
      <c r="Q10" s="412">
        <f t="shared" si="7"/>
        <v>5.4138736398216683E-3</v>
      </c>
      <c r="R10" s="407">
        <f t="shared" si="2"/>
        <v>28.167178067905795</v>
      </c>
      <c r="S10" s="413">
        <f t="shared" si="3"/>
        <v>9.0225195012310824</v>
      </c>
      <c r="T10" s="831">
        <f t="shared" si="8"/>
        <v>1.4859836401584485</v>
      </c>
      <c r="U10" s="414">
        <f t="shared" si="9"/>
        <v>1.0055000000000001</v>
      </c>
      <c r="V10" s="415">
        <f t="shared" si="10"/>
        <v>1.0350522178028982E-3</v>
      </c>
      <c r="W10" s="414">
        <f t="shared" si="11"/>
        <v>0.98451581001991773</v>
      </c>
      <c r="X10" s="416">
        <f t="shared" si="12"/>
        <v>10.149859999999986</v>
      </c>
      <c r="Y10" s="417">
        <f t="shared" si="4"/>
        <v>18.505077665612262</v>
      </c>
      <c r="Z10" s="418">
        <f t="shared" si="5"/>
        <v>2.5701496757794809E-3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439">
        <v>19</v>
      </c>
      <c r="L11" s="409">
        <v>1.0024999999999999</v>
      </c>
      <c r="M11" s="407">
        <f>(L11-1)*1000</f>
        <v>2.4999999999999467</v>
      </c>
      <c r="N11" s="407">
        <f t="shared" si="6"/>
        <v>3.9999999999998925</v>
      </c>
      <c r="O11" s="564">
        <v>-0.2</v>
      </c>
      <c r="P11" s="411">
        <f>N11+O11</f>
        <v>3.7999999999998924</v>
      </c>
      <c r="Q11" s="412">
        <f t="shared" si="7"/>
        <v>3.1777502206363425E-3</v>
      </c>
      <c r="R11" s="407">
        <f>$F$36*P11</f>
        <v>20.195335218498116</v>
      </c>
      <c r="S11" s="413">
        <f>$G$24/100*R11</f>
        <v>6.4689762461655604</v>
      </c>
      <c r="T11" s="831">
        <f t="shared" si="8"/>
        <v>1.0654222325664147</v>
      </c>
      <c r="U11" s="414">
        <f t="shared" si="9"/>
        <v>1.004</v>
      </c>
      <c r="V11" s="415">
        <f t="shared" si="10"/>
        <v>1.0350522178028982E-3</v>
      </c>
      <c r="W11" s="414">
        <f t="shared" si="11"/>
        <v>0.98451581001991773</v>
      </c>
      <c r="X11" s="416">
        <f t="shared" si="12"/>
        <v>10.77128000000001</v>
      </c>
      <c r="Y11" s="417">
        <f t="shared" si="4"/>
        <v>19.126497665612284</v>
      </c>
      <c r="Z11" s="418">
        <f t="shared" si="5"/>
        <v>8.8548600303760576E-4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561">
        <v>18.5</v>
      </c>
      <c r="L12" s="466">
        <v>1.0015000000000001</v>
      </c>
      <c r="M12" s="467">
        <f>(L12-1)*1000</f>
        <v>1.5000000000000568</v>
      </c>
      <c r="N12" s="467">
        <f t="shared" si="6"/>
        <v>3.0000000000000027</v>
      </c>
      <c r="O12" s="565">
        <v>-0.3</v>
      </c>
      <c r="P12" s="468">
        <f>N12+O12</f>
        <v>2.7000000000000028</v>
      </c>
      <c r="Q12" s="469">
        <f t="shared" si="7"/>
        <v>1.6163242226549276E-3</v>
      </c>
      <c r="R12" s="467">
        <f>$F$36*P12</f>
        <v>14.349317128933293</v>
      </c>
      <c r="S12" s="470">
        <f>$G$24/100*R12</f>
        <v>4.5963778591177702</v>
      </c>
      <c r="T12" s="831">
        <f t="shared" si="8"/>
        <v>0.75701053366563276</v>
      </c>
      <c r="U12" s="414">
        <f t="shared" si="9"/>
        <v>1.0030000000000001</v>
      </c>
      <c r="V12" s="415">
        <f t="shared" si="10"/>
        <v>1.047832370367536E-3</v>
      </c>
      <c r="W12" s="414">
        <f t="shared" si="11"/>
        <v>0.98544167375963576</v>
      </c>
      <c r="X12" s="416">
        <f t="shared" si="12"/>
        <v>11.185559999999963</v>
      </c>
      <c r="Y12" s="417">
        <f t="shared" si="4"/>
        <v>19.540777665612239</v>
      </c>
      <c r="Z12" s="418">
        <f t="shared" si="5"/>
        <v>2.2616640816680832E-4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>
        <v>0</v>
      </c>
      <c r="E13" s="474">
        <f>D13</f>
        <v>0</v>
      </c>
      <c r="F13" s="457">
        <f t="shared" si="14"/>
        <v>0</v>
      </c>
      <c r="G13" s="475">
        <f t="shared" si="15"/>
        <v>100</v>
      </c>
      <c r="S13" s="372">
        <f>SUM(S4:S12)</f>
        <v>115.24991891195192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0</v>
      </c>
      <c r="E14" s="474">
        <f>D14</f>
        <v>0</v>
      </c>
      <c r="F14" s="457">
        <f t="shared" si="14"/>
        <v>0</v>
      </c>
      <c r="G14" s="475">
        <f t="shared" si="15"/>
        <v>100</v>
      </c>
      <c r="U14" s="530"/>
      <c r="V14" s="530"/>
      <c r="W14" s="531"/>
      <c r="X14" s="481"/>
      <c r="Y14" s="481"/>
      <c r="Z14" s="481"/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0</v>
      </c>
      <c r="E15" s="462">
        <f>D15</f>
        <v>0</v>
      </c>
      <c r="F15" s="479">
        <f t="shared" si="14"/>
        <v>0</v>
      </c>
      <c r="G15" s="480">
        <f t="shared" si="15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481"/>
      <c r="Y15" s="481"/>
      <c r="Z15" s="481"/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631.9</v>
      </c>
      <c r="E16" s="485">
        <f>D16-C16</f>
        <v>1.5</v>
      </c>
      <c r="F16" s="457">
        <f t="shared" si="14"/>
        <v>1.5015015015015001</v>
      </c>
      <c r="G16" s="463">
        <f t="shared" si="15"/>
        <v>98.498498498498506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1"/>
      <c r="Y16" s="531"/>
      <c r="Z16" s="531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562">
        <v>519.5</v>
      </c>
      <c r="E17" s="487">
        <f t="shared" ref="E17:E24" si="16">D17-C17</f>
        <v>0.20000000000004547</v>
      </c>
      <c r="F17" s="457">
        <f t="shared" si="14"/>
        <v>0.20020020020024551</v>
      </c>
      <c r="G17" s="475">
        <f t="shared" si="15"/>
        <v>98.298298298298263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</row>
    <row r="18" spans="1:26" ht="21.95" customHeight="1" x14ac:dyDescent="0.2">
      <c r="A18" s="949"/>
      <c r="B18" s="486">
        <v>2</v>
      </c>
      <c r="C18" s="472">
        <v>506.2</v>
      </c>
      <c r="D18" s="562">
        <v>507</v>
      </c>
      <c r="E18" s="488">
        <f t="shared" si="16"/>
        <v>0.80000000000001137</v>
      </c>
      <c r="F18" s="457">
        <f t="shared" si="14"/>
        <v>0.8008008008008114</v>
      </c>
      <c r="G18" s="475">
        <f t="shared" si="15"/>
        <v>97.497497497497449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26" ht="21.95" customHeight="1" x14ac:dyDescent="0.2">
      <c r="A19" s="949"/>
      <c r="B19" s="486">
        <v>1</v>
      </c>
      <c r="C19" s="472">
        <v>383.8</v>
      </c>
      <c r="D19" s="562">
        <v>385.1</v>
      </c>
      <c r="E19" s="487">
        <f t="shared" si="16"/>
        <v>1.3000000000000114</v>
      </c>
      <c r="F19" s="457">
        <f t="shared" si="14"/>
        <v>1.3013013013013115</v>
      </c>
      <c r="G19" s="475">
        <f t="shared" si="15"/>
        <v>96.196196196196141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26" ht="21.95" customHeight="1" x14ac:dyDescent="0.2">
      <c r="A20" s="949"/>
      <c r="B20" s="471">
        <v>0.63</v>
      </c>
      <c r="C20" s="472">
        <v>376.2</v>
      </c>
      <c r="D20" s="562">
        <v>377.5</v>
      </c>
      <c r="E20" s="488">
        <f t="shared" si="16"/>
        <v>1.3000000000000114</v>
      </c>
      <c r="F20" s="457">
        <f t="shared" si="14"/>
        <v>1.3013013013013115</v>
      </c>
      <c r="G20" s="475">
        <f t="shared" si="15"/>
        <v>94.894894894894833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0.13</v>
      </c>
      <c r="X20" s="530"/>
      <c r="Y20" s="530"/>
      <c r="Z20" s="530"/>
    </row>
    <row r="21" spans="1:26" ht="21.95" customHeight="1" thickBot="1" x14ac:dyDescent="0.25">
      <c r="A21" s="949"/>
      <c r="B21" s="489">
        <v>0.4</v>
      </c>
      <c r="C21" s="472">
        <v>330.8</v>
      </c>
      <c r="D21" s="562">
        <v>333.4</v>
      </c>
      <c r="E21" s="487">
        <f t="shared" si="16"/>
        <v>2.5999999999999659</v>
      </c>
      <c r="F21" s="457">
        <f t="shared" si="14"/>
        <v>2.6026026026025662</v>
      </c>
      <c r="G21" s="475">
        <f t="shared" si="15"/>
        <v>92.292292292292274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6.4000000000000003E-3</v>
      </c>
      <c r="X21" s="530"/>
      <c r="Y21" s="530"/>
      <c r="Z21" s="530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562">
        <v>344.5</v>
      </c>
      <c r="E22" s="488">
        <f t="shared" si="16"/>
        <v>18.399999999999977</v>
      </c>
      <c r="F22" s="457">
        <f t="shared" si="14"/>
        <v>18.418418418418376</v>
      </c>
      <c r="G22" s="475">
        <f t="shared" si="15"/>
        <v>73.87387387387389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20.3125</v>
      </c>
      <c r="X22" s="530"/>
      <c r="Y22" s="530"/>
      <c r="Z22" s="530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562">
        <v>329.6</v>
      </c>
      <c r="E23" s="487">
        <f t="shared" si="16"/>
        <v>25.200000000000045</v>
      </c>
      <c r="F23" s="457">
        <f t="shared" si="14"/>
        <v>25.225225225225245</v>
      </c>
      <c r="G23" s="490">
        <f t="shared" si="15"/>
        <v>48.648648648648646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951"/>
      <c r="B24" s="491">
        <v>6.3E-2</v>
      </c>
      <c r="C24" s="472">
        <v>313.7</v>
      </c>
      <c r="D24" s="562">
        <v>330.3</v>
      </c>
      <c r="E24" s="488">
        <f t="shared" si="16"/>
        <v>16.600000000000023</v>
      </c>
      <c r="F24" s="492">
        <f t="shared" si="14"/>
        <v>16.616616616616625</v>
      </c>
      <c r="G24" s="493">
        <f t="shared" si="15"/>
        <v>32.032032032032021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4.8939007999999994E-7</v>
      </c>
      <c r="X24" s="530"/>
      <c r="Y24" s="530"/>
      <c r="Z24" s="530"/>
    </row>
    <row r="25" spans="1:26" ht="21.95" customHeight="1" thickBot="1" x14ac:dyDescent="0.3">
      <c r="A25" s="494"/>
      <c r="B25" s="476" t="s">
        <v>14</v>
      </c>
      <c r="C25" s="495">
        <v>367.5</v>
      </c>
      <c r="D25" s="563">
        <v>399.5</v>
      </c>
      <c r="E25" s="496">
        <f>D25-C25+(G6-C26)</f>
        <v>32</v>
      </c>
      <c r="F25" s="457">
        <f t="shared" si="14"/>
        <v>32.032032032032006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26" ht="21.95" customHeight="1" x14ac:dyDescent="0.2">
      <c r="A26" s="952" t="s">
        <v>40</v>
      </c>
      <c r="B26" s="953"/>
      <c r="C26" s="435">
        <v>100.3</v>
      </c>
      <c r="D26" s="498" t="s">
        <v>19</v>
      </c>
      <c r="E26" s="499">
        <f>SUM(E12:E25)</f>
        <v>99.900000000000091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1.16E-3</v>
      </c>
      <c r="X26" s="533"/>
      <c r="Y26" s="530"/>
      <c r="Z26" s="530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0.39999999999990621</v>
      </c>
      <c r="F27" s="505">
        <f>IF((E27/G6*100)&gt;1,"Fehler zu groß",(E27/G6*100))</f>
        <v>0.39880358923220954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3.4827468800000002E-8</v>
      </c>
      <c r="X27" s="551" t="str">
        <f>IF(W22&lt;5.000001,"OK","U größer 5")</f>
        <v>U größer 5</v>
      </c>
      <c r="Y27" s="530"/>
      <c r="Z27" s="530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517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517" t="s">
        <v>45</v>
      </c>
      <c r="B33" s="517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517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517" t="s">
        <v>36</v>
      </c>
      <c r="B35" s="518"/>
      <c r="C35" s="518"/>
      <c r="D35" s="518"/>
      <c r="E35" s="519"/>
      <c r="F35" s="520">
        <v>30.22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336</v>
      </c>
      <c r="X35" s="530"/>
      <c r="Y35" s="530"/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5.314561899604918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(W24)</f>
        <v>4.8939007999999994E-7</v>
      </c>
      <c r="W36" s="838">
        <v>2.9830000000000001E-6</v>
      </c>
      <c r="X36" s="530"/>
      <c r="Y36" s="530"/>
      <c r="Z36" s="530"/>
    </row>
    <row r="38" spans="1:26" x14ac:dyDescent="0.2">
      <c r="F38" s="116"/>
    </row>
    <row r="39" spans="1:26" x14ac:dyDescent="0.2">
      <c r="F39" s="116"/>
    </row>
    <row r="40" spans="1:26" x14ac:dyDescent="0.2">
      <c r="F40" s="116"/>
    </row>
    <row r="41" spans="1:26" x14ac:dyDescent="0.2">
      <c r="F41" s="116"/>
    </row>
    <row r="42" spans="1:26" x14ac:dyDescent="0.2">
      <c r="F42" s="116"/>
    </row>
    <row r="43" spans="1:26" x14ac:dyDescent="0.2">
      <c r="F43" s="116"/>
    </row>
    <row r="44" spans="1:26" x14ac:dyDescent="0.2">
      <c r="F44" s="116"/>
    </row>
    <row r="45" spans="1:26" x14ac:dyDescent="0.2">
      <c r="F45" s="116"/>
    </row>
    <row r="46" spans="1:26" x14ac:dyDescent="0.2">
      <c r="F46" s="116"/>
    </row>
    <row r="47" spans="1:26" x14ac:dyDescent="0.2">
      <c r="F47" s="116"/>
    </row>
    <row r="48" spans="1:26" x14ac:dyDescent="0.2">
      <c r="F48" s="116"/>
    </row>
    <row r="49" spans="6:6" x14ac:dyDescent="0.2">
      <c r="F49" s="116"/>
    </row>
    <row r="50" spans="6:6" x14ac:dyDescent="0.2">
      <c r="F50" s="116"/>
    </row>
    <row r="51" spans="6:6" x14ac:dyDescent="0.2">
      <c r="F51" s="116"/>
    </row>
  </sheetData>
  <sheetProtection selectLockedCells="1"/>
  <protectedRanges>
    <protectedRange password="C4F2" sqref="E3:E4 C3:C6 D5:D6 G3:G6 F5 C26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2"/>
  <dimension ref="A1:AE36"/>
  <sheetViews>
    <sheetView topLeftCell="E1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63</v>
      </c>
      <c r="D3" s="580" t="s">
        <v>25</v>
      </c>
      <c r="E3" s="582">
        <v>39800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6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211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>
        <v>18</v>
      </c>
      <c r="L4" s="604">
        <v>1.0135000000000001</v>
      </c>
      <c r="M4" s="602">
        <f t="shared" ref="M4:M10" si="0">(L4-1)*1000</f>
        <v>13.500000000000068</v>
      </c>
      <c r="N4" s="602">
        <f>M4+$G$33</f>
        <v>15.000000000000014</v>
      </c>
      <c r="O4" s="605">
        <v>-0.35</v>
      </c>
      <c r="P4" s="606">
        <f t="shared" ref="P4:P10" si="1">N4+O4</f>
        <v>14.650000000000015</v>
      </c>
      <c r="Q4" s="607">
        <f>((18.35*V4/($F$34-W4))*Z4)^0.5</f>
        <v>7.5514759327613395E-2</v>
      </c>
      <c r="R4" s="602">
        <f t="shared" ref="R4:R10" si="2">$F$36*P4</f>
        <v>76.715969608046635</v>
      </c>
      <c r="S4" s="608">
        <f t="shared" ref="S4:S10" si="3">$G$24/100*R4</f>
        <v>24.1959186656171</v>
      </c>
      <c r="T4" s="530">
        <f>(S4/S$13)*S$4</f>
        <v>4.8424891864930775</v>
      </c>
      <c r="U4" s="609">
        <f>1+0.001*N4</f>
        <v>1.0150000000000001</v>
      </c>
      <c r="V4" s="610">
        <f>0.00178/(1+0.0337*K4+0.00022*K4^2)</f>
        <v>1.0608625169857199E-3</v>
      </c>
      <c r="W4" s="609">
        <f>1/(1+((2.31*K4-2)^2-182)*0.00001)</f>
        <v>0.98634332312503503</v>
      </c>
      <c r="X4" s="611">
        <f>4142.8*(1.03-U4)/10</f>
        <v>6.21419999999996</v>
      </c>
      <c r="Y4" s="612">
        <f t="shared" ref="Y4:Y12" si="4">X4+$AB$5+0.5*($AC$5-$AD$5/$AE$5)</f>
        <v>14.620205387852884</v>
      </c>
      <c r="Z4" s="613">
        <f t="shared" ref="Z4:Z12" si="5">Y4/I4</f>
        <v>0.48734017959509612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18</v>
      </c>
      <c r="L5" s="604">
        <v>1.0109999999999999</v>
      </c>
      <c r="M5" s="602">
        <f t="shared" si="0"/>
        <v>10.999999999999899</v>
      </c>
      <c r="N5" s="602">
        <f t="shared" ref="N5:N12" si="6">M5+$G$33</f>
        <v>12.499999999999844</v>
      </c>
      <c r="O5" s="605">
        <v>-0.35</v>
      </c>
      <c r="P5" s="606">
        <f t="shared" si="1"/>
        <v>12.149999999999844</v>
      </c>
      <c r="Q5" s="607">
        <f t="shared" ref="Q5:Q12" si="7">((18.35*V5/($F$34-W5))*Z5)^0.5</f>
        <v>5.5255969332381027E-2</v>
      </c>
      <c r="R5" s="602">
        <f t="shared" si="2"/>
        <v>63.624507217594115</v>
      </c>
      <c r="S5" s="608">
        <f t="shared" si="3"/>
        <v>20.066922306296497</v>
      </c>
      <c r="T5" s="530">
        <f t="shared" ref="T5:T12" si="8">(S5/S$13)*S$4</f>
        <v>4.0161258440880596</v>
      </c>
      <c r="U5" s="609">
        <f t="shared" ref="U5:U12" si="9">1+0.001*N5</f>
        <v>1.0124999999999997</v>
      </c>
      <c r="V5" s="610">
        <f t="shared" ref="V5:V12" si="10">0.00178/(1+0.0337*K5+0.00022*K5^2)</f>
        <v>1.0608625169857199E-3</v>
      </c>
      <c r="W5" s="609">
        <f t="shared" ref="W5:W12" si="11">1/(1+((2.31*K5-2)^2-182)*0.00001)</f>
        <v>0.98634332312503503</v>
      </c>
      <c r="X5" s="611">
        <f t="shared" ref="X5:X12" si="12">4142.8*(1.03-U5)/10</f>
        <v>7.2499000000001219</v>
      </c>
      <c r="Y5" s="612">
        <f t="shared" si="4"/>
        <v>15.655905387853046</v>
      </c>
      <c r="Z5" s="613">
        <f t="shared" si="5"/>
        <v>0.26093175646421746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28.463143600788879</v>
      </c>
    </row>
    <row r="6" spans="1:31" ht="20.100000000000001" customHeight="1" x14ac:dyDescent="0.35">
      <c r="A6" s="626" t="s">
        <v>28</v>
      </c>
      <c r="B6" s="627"/>
      <c r="C6" s="616">
        <v>6.3</v>
      </c>
      <c r="D6" s="628"/>
      <c r="E6" s="596" t="s">
        <v>41</v>
      </c>
      <c r="F6" s="629"/>
      <c r="G6" s="630">
        <v>200.7</v>
      </c>
      <c r="I6" s="601">
        <f t="shared" ref="I6:I12" si="13">J6*60</f>
        <v>120</v>
      </c>
      <c r="J6" s="621">
        <v>2</v>
      </c>
      <c r="K6" s="603">
        <v>18</v>
      </c>
      <c r="L6" s="604">
        <v>1.0095000000000001</v>
      </c>
      <c r="M6" s="602">
        <f t="shared" si="0"/>
        <v>9.5000000000000639</v>
      </c>
      <c r="N6" s="602">
        <f t="shared" si="6"/>
        <v>11.000000000000011</v>
      </c>
      <c r="O6" s="605">
        <v>-0.35</v>
      </c>
      <c r="P6" s="606">
        <f t="shared" si="1"/>
        <v>10.650000000000011</v>
      </c>
      <c r="Q6" s="607">
        <f t="shared" si="7"/>
        <v>3.9839752585108933E-2</v>
      </c>
      <c r="R6" s="602">
        <f t="shared" si="2"/>
        <v>55.769629783324007</v>
      </c>
      <c r="S6" s="608">
        <f t="shared" si="3"/>
        <v>17.58952449070458</v>
      </c>
      <c r="T6" s="530">
        <f t="shared" si="8"/>
        <v>3.5203078386451376</v>
      </c>
      <c r="U6" s="609">
        <f t="shared" si="9"/>
        <v>1.0110000000000001</v>
      </c>
      <c r="V6" s="610">
        <f t="shared" si="10"/>
        <v>1.0608625169857199E-3</v>
      </c>
      <c r="W6" s="609">
        <f t="shared" si="11"/>
        <v>0.98634332312503503</v>
      </c>
      <c r="X6" s="611">
        <f t="shared" si="12"/>
        <v>7.8713199999999617</v>
      </c>
      <c r="Y6" s="612">
        <f t="shared" si="4"/>
        <v>16.277325387852883</v>
      </c>
      <c r="Z6" s="613">
        <f t="shared" si="5"/>
        <v>0.13564437823210737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723">
        <v>18</v>
      </c>
      <c r="L7" s="604">
        <v>1.008</v>
      </c>
      <c r="M7" s="602">
        <f t="shared" si="0"/>
        <v>8.0000000000000071</v>
      </c>
      <c r="N7" s="602">
        <f t="shared" si="6"/>
        <v>9.4999999999999538</v>
      </c>
      <c r="O7" s="605">
        <v>-0.35</v>
      </c>
      <c r="P7" s="606">
        <f t="shared" si="1"/>
        <v>9.1499999999999542</v>
      </c>
      <c r="Q7" s="607">
        <f t="shared" si="7"/>
        <v>2.5673337910407289E-2</v>
      </c>
      <c r="R7" s="602">
        <f t="shared" si="2"/>
        <v>47.914752349052733</v>
      </c>
      <c r="S7" s="608">
        <f t="shared" si="3"/>
        <v>15.112126675112297</v>
      </c>
      <c r="T7" s="530">
        <f t="shared" si="8"/>
        <v>3.0244898332021428</v>
      </c>
      <c r="U7" s="609">
        <f t="shared" si="9"/>
        <v>1.0095000000000001</v>
      </c>
      <c r="V7" s="610">
        <f t="shared" si="10"/>
        <v>1.0608625169857199E-3</v>
      </c>
      <c r="W7" s="609">
        <f t="shared" si="11"/>
        <v>0.98634332312503503</v>
      </c>
      <c r="X7" s="611">
        <f t="shared" si="12"/>
        <v>8.4927399999999853</v>
      </c>
      <c r="Y7" s="612">
        <f t="shared" si="4"/>
        <v>16.898745387852909</v>
      </c>
      <c r="Z7" s="613">
        <f t="shared" si="5"/>
        <v>5.6329151292843029E-2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723">
        <v>18</v>
      </c>
      <c r="L8" s="604">
        <v>1.0069999999999999</v>
      </c>
      <c r="M8" s="602">
        <f t="shared" si="0"/>
        <v>6.9999999999998952</v>
      </c>
      <c r="N8" s="602">
        <f t="shared" si="6"/>
        <v>8.4999999999998401</v>
      </c>
      <c r="O8" s="605">
        <v>-0.35</v>
      </c>
      <c r="P8" s="606">
        <f t="shared" si="1"/>
        <v>8.1499999999998405</v>
      </c>
      <c r="Q8" s="607">
        <f t="shared" si="7"/>
        <v>1.5003098526177256E-2</v>
      </c>
      <c r="R8" s="602">
        <f t="shared" si="2"/>
        <v>42.67816739287148</v>
      </c>
      <c r="S8" s="608">
        <f t="shared" si="3"/>
        <v>13.460528131383979</v>
      </c>
      <c r="T8" s="530">
        <f t="shared" si="8"/>
        <v>2.6939444962401207</v>
      </c>
      <c r="U8" s="609">
        <f t="shared" si="9"/>
        <v>1.0084999999999997</v>
      </c>
      <c r="V8" s="610">
        <f t="shared" si="10"/>
        <v>1.0608625169857199E-3</v>
      </c>
      <c r="W8" s="609">
        <f t="shared" si="11"/>
        <v>0.98634332312503503</v>
      </c>
      <c r="X8" s="611">
        <f t="shared" si="12"/>
        <v>8.9070200000001236</v>
      </c>
      <c r="Y8" s="612">
        <f t="shared" si="4"/>
        <v>17.313025387853045</v>
      </c>
      <c r="Z8" s="613">
        <f t="shared" si="5"/>
        <v>1.9236694875392271E-2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723">
        <v>18</v>
      </c>
      <c r="L9" s="604">
        <v>1.0055000000000001</v>
      </c>
      <c r="M9" s="602">
        <f t="shared" si="0"/>
        <v>5.5000000000000604</v>
      </c>
      <c r="N9" s="602">
        <f t="shared" si="6"/>
        <v>7.0000000000000062</v>
      </c>
      <c r="O9" s="605">
        <v>-0.35</v>
      </c>
      <c r="P9" s="606">
        <f t="shared" si="1"/>
        <v>6.6500000000000066</v>
      </c>
      <c r="Q9" s="607">
        <f t="shared" si="7"/>
        <v>8.8161267711407264E-3</v>
      </c>
      <c r="R9" s="602">
        <f t="shared" si="2"/>
        <v>34.823289958601372</v>
      </c>
      <c r="S9" s="608">
        <f t="shared" si="3"/>
        <v>10.983130315792062</v>
      </c>
      <c r="T9" s="530">
        <f t="shared" si="8"/>
        <v>2.1981264907971987</v>
      </c>
      <c r="U9" s="609">
        <f t="shared" si="9"/>
        <v>1.0070000000000001</v>
      </c>
      <c r="V9" s="610">
        <f t="shared" si="10"/>
        <v>1.0608625169857199E-3</v>
      </c>
      <c r="W9" s="609">
        <f t="shared" si="11"/>
        <v>0.98634332312503503</v>
      </c>
      <c r="X9" s="611">
        <f t="shared" si="12"/>
        <v>9.5284399999999643</v>
      </c>
      <c r="Y9" s="612">
        <f t="shared" si="4"/>
        <v>17.93444538785289</v>
      </c>
      <c r="Z9" s="613">
        <f t="shared" si="5"/>
        <v>6.6423871806862555E-3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723">
        <v>19</v>
      </c>
      <c r="L10" s="604">
        <v>1.004</v>
      </c>
      <c r="M10" s="602">
        <f t="shared" si="0"/>
        <v>4.0000000000000036</v>
      </c>
      <c r="N10" s="602">
        <f t="shared" si="6"/>
        <v>5.4999999999999494</v>
      </c>
      <c r="O10" s="724">
        <v>-0.2</v>
      </c>
      <c r="P10" s="606">
        <f t="shared" si="1"/>
        <v>5.2999999999999492</v>
      </c>
      <c r="Q10" s="607">
        <f t="shared" si="7"/>
        <v>5.4212978159400111E-3</v>
      </c>
      <c r="R10" s="602">
        <f t="shared" si="2"/>
        <v>27.753900267757192</v>
      </c>
      <c r="S10" s="608">
        <f t="shared" si="3"/>
        <v>8.7534722817589952</v>
      </c>
      <c r="T10" s="530">
        <f t="shared" si="8"/>
        <v>1.751890285898501</v>
      </c>
      <c r="U10" s="609">
        <f t="shared" si="9"/>
        <v>1.0055000000000001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10.149859999999986</v>
      </c>
      <c r="Y10" s="612">
        <f t="shared" si="4"/>
        <v>18.555865387852911</v>
      </c>
      <c r="Z10" s="613">
        <f t="shared" si="5"/>
        <v>2.577203526090682E-3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723">
        <v>19</v>
      </c>
      <c r="L11" s="604">
        <v>1.0024999999999999</v>
      </c>
      <c r="M11" s="602">
        <f>(L11-1)*1000</f>
        <v>2.4999999999999467</v>
      </c>
      <c r="N11" s="602">
        <f t="shared" si="6"/>
        <v>3.9999999999998925</v>
      </c>
      <c r="O11" s="724">
        <v>-0.2</v>
      </c>
      <c r="P11" s="606">
        <f>N11+O11</f>
        <v>3.7999999999998924</v>
      </c>
      <c r="Q11" s="607">
        <f t="shared" si="7"/>
        <v>3.1819664577858653E-3</v>
      </c>
      <c r="R11" s="602">
        <f>$F$36*P11</f>
        <v>19.899022833485915</v>
      </c>
      <c r="S11" s="608">
        <f>$G$24/100*R11</f>
        <v>6.2760744661667083</v>
      </c>
      <c r="T11" s="530">
        <f t="shared" si="8"/>
        <v>1.2560722804555051</v>
      </c>
      <c r="U11" s="609">
        <f t="shared" si="9"/>
        <v>1.004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10.77128000000001</v>
      </c>
      <c r="Y11" s="612">
        <f t="shared" si="4"/>
        <v>19.177285387852933</v>
      </c>
      <c r="Z11" s="613">
        <f t="shared" si="5"/>
        <v>8.878372864746728E-4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725">
        <v>18.5</v>
      </c>
      <c r="L12" s="660">
        <v>1.0015000000000001</v>
      </c>
      <c r="M12" s="661">
        <f>(L12-1)*1000</f>
        <v>1.5000000000000568</v>
      </c>
      <c r="N12" s="661">
        <f t="shared" si="6"/>
        <v>3.0000000000000027</v>
      </c>
      <c r="O12" s="726">
        <v>-0.3</v>
      </c>
      <c r="P12" s="662">
        <f>N12+O12</f>
        <v>2.7000000000000028</v>
      </c>
      <c r="Q12" s="663">
        <f t="shared" si="7"/>
        <v>1.6184233242713092E-3</v>
      </c>
      <c r="R12" s="661">
        <f>$F$36*P12</f>
        <v>14.138779381687776</v>
      </c>
      <c r="S12" s="664">
        <f>$G$24/100*R12</f>
        <v>4.4593160680659505</v>
      </c>
      <c r="T12" s="530">
        <f t="shared" si="8"/>
        <v>0.89247240979735909</v>
      </c>
      <c r="U12" s="609">
        <f t="shared" si="9"/>
        <v>1.0030000000000001</v>
      </c>
      <c r="V12" s="610">
        <f t="shared" si="10"/>
        <v>1.047832370367536E-3</v>
      </c>
      <c r="W12" s="609">
        <f t="shared" si="11"/>
        <v>0.98544167375963576</v>
      </c>
      <c r="X12" s="611">
        <f t="shared" si="12"/>
        <v>11.185559999999963</v>
      </c>
      <c r="Y12" s="612">
        <f t="shared" si="4"/>
        <v>19.591565387852889</v>
      </c>
      <c r="Z12" s="613">
        <f t="shared" si="5"/>
        <v>2.2675422902607509E-4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120.89701340089816</v>
      </c>
      <c r="Y13" s="530">
        <v>4.2000000000000455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0</v>
      </c>
      <c r="E14" s="668">
        <f>D14</f>
        <v>0</v>
      </c>
      <c r="F14" s="651">
        <f t="shared" si="14"/>
        <v>0</v>
      </c>
      <c r="G14" s="669">
        <f t="shared" si="15"/>
        <v>100</v>
      </c>
      <c r="Y14" s="530">
        <v>2.7000000000000455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0</v>
      </c>
      <c r="E15" s="656">
        <f>D15</f>
        <v>0</v>
      </c>
      <c r="F15" s="673">
        <f t="shared" si="14"/>
        <v>0</v>
      </c>
      <c r="G15" s="674">
        <f t="shared" si="15"/>
        <v>100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  <c r="Y15" s="530">
        <v>1.1000000000000227</v>
      </c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634.6</v>
      </c>
      <c r="E16" s="678">
        <f>D16-C16</f>
        <v>4.2000000000000455</v>
      </c>
      <c r="F16" s="651">
        <f t="shared" si="14"/>
        <v>2.092675635276553</v>
      </c>
      <c r="G16" s="657">
        <f t="shared" si="15"/>
        <v>97.907324364723451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  <c r="Y16" s="530">
        <v>2.3000000000000114</v>
      </c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522</v>
      </c>
      <c r="E17" s="681">
        <f t="shared" ref="E17:E24" si="16">D17-C17</f>
        <v>2.7000000000000455</v>
      </c>
      <c r="F17" s="651">
        <f t="shared" si="14"/>
        <v>1.3452914798206494</v>
      </c>
      <c r="G17" s="669">
        <f t="shared" si="15"/>
        <v>96.562032884902806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  <c r="Y17" s="530">
        <v>2.1999999999999886</v>
      </c>
    </row>
    <row r="18" spans="1:25" ht="21.95" customHeight="1" x14ac:dyDescent="0.2">
      <c r="A18" s="986"/>
      <c r="B18" s="679">
        <v>2</v>
      </c>
      <c r="C18" s="666">
        <v>506.2</v>
      </c>
      <c r="D18" s="680">
        <v>507.3</v>
      </c>
      <c r="E18" s="682">
        <f t="shared" si="16"/>
        <v>1.1000000000000227</v>
      </c>
      <c r="F18" s="651">
        <f t="shared" si="14"/>
        <v>0.54808171400100736</v>
      </c>
      <c r="G18" s="669">
        <f t="shared" si="15"/>
        <v>96.013951170901805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Y18" s="530">
        <v>3.1999999999999886</v>
      </c>
    </row>
    <row r="19" spans="1:25" ht="21.95" customHeight="1" x14ac:dyDescent="0.2">
      <c r="A19" s="986"/>
      <c r="B19" s="679">
        <v>1</v>
      </c>
      <c r="C19" s="666">
        <v>383.8</v>
      </c>
      <c r="D19" s="680">
        <v>386.1</v>
      </c>
      <c r="E19" s="681">
        <f t="shared" si="16"/>
        <v>2.3000000000000114</v>
      </c>
      <c r="F19" s="651">
        <f t="shared" si="14"/>
        <v>1.1459890383657247</v>
      </c>
      <c r="G19" s="669">
        <f t="shared" si="15"/>
        <v>94.867962132536078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781" t="s">
        <v>109</v>
      </c>
      <c r="W19" s="782">
        <v>11</v>
      </c>
      <c r="Y19" s="530">
        <v>31</v>
      </c>
    </row>
    <row r="20" spans="1:25" ht="21.95" customHeight="1" x14ac:dyDescent="0.2">
      <c r="A20" s="986"/>
      <c r="B20" s="665">
        <v>0.63</v>
      </c>
      <c r="C20" s="666">
        <v>376.2</v>
      </c>
      <c r="D20" s="680">
        <v>378.4</v>
      </c>
      <c r="E20" s="682">
        <f t="shared" si="16"/>
        <v>2.1999999999999886</v>
      </c>
      <c r="F20" s="651">
        <f t="shared" si="14"/>
        <v>1.0961634280019865</v>
      </c>
      <c r="G20" s="669">
        <f t="shared" si="15"/>
        <v>93.771798704534092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781" t="s">
        <v>107</v>
      </c>
      <c r="W20" s="782">
        <v>0.125</v>
      </c>
      <c r="Y20" s="530">
        <v>54.800000000000011</v>
      </c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334.1</v>
      </c>
      <c r="E21" s="681">
        <f t="shared" si="16"/>
        <v>3.3000000000000114</v>
      </c>
      <c r="F21" s="651">
        <f t="shared" si="14"/>
        <v>1.6442451420029938</v>
      </c>
      <c r="G21" s="669">
        <f t="shared" si="15"/>
        <v>92.127553562531105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781" t="s">
        <v>108</v>
      </c>
      <c r="W21" s="782">
        <v>7.1000000000000004E-3</v>
      </c>
      <c r="Y21" s="530">
        <v>35.800000000000011</v>
      </c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357.1</v>
      </c>
      <c r="E22" s="682">
        <f t="shared" si="16"/>
        <v>31</v>
      </c>
      <c r="F22" s="651">
        <f t="shared" si="14"/>
        <v>15.445939212755345</v>
      </c>
      <c r="G22" s="669">
        <f t="shared" si="15"/>
        <v>76.681614349775757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783" t="s">
        <v>106</v>
      </c>
      <c r="W22" s="784">
        <f>W20/W21</f>
        <v>17.6056338028169</v>
      </c>
      <c r="Y22" s="530">
        <v>63.300000000000011</v>
      </c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359.2</v>
      </c>
      <c r="E23" s="681">
        <f t="shared" si="16"/>
        <v>54.800000000000011</v>
      </c>
      <c r="F23" s="651">
        <f t="shared" si="14"/>
        <v>27.304434479322353</v>
      </c>
      <c r="G23" s="684">
        <f t="shared" si="15"/>
        <v>49.377179870453404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349.5</v>
      </c>
      <c r="E24" s="682">
        <f t="shared" si="16"/>
        <v>35.800000000000011</v>
      </c>
      <c r="F24" s="686">
        <f t="shared" si="14"/>
        <v>17.83756851021424</v>
      </c>
      <c r="G24" s="687">
        <f t="shared" si="15"/>
        <v>31.539611360239164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0" t="s">
        <v>111</v>
      </c>
      <c r="W24" s="785">
        <f>0.0116*(W21*W21)*(0.7+0.03*W19)</f>
        <v>6.0229867999999991E-7</v>
      </c>
    </row>
    <row r="25" spans="1:25" ht="21.95" customHeight="1" thickBot="1" x14ac:dyDescent="0.3">
      <c r="A25" s="738"/>
      <c r="B25" s="670" t="s">
        <v>14</v>
      </c>
      <c r="C25" s="689">
        <v>367.5</v>
      </c>
      <c r="D25" s="690">
        <v>430.8</v>
      </c>
      <c r="E25" s="691">
        <f>D25-C25+(G6-C26)</f>
        <v>63.300000000000011</v>
      </c>
      <c r="F25" s="651">
        <f t="shared" si="14"/>
        <v>31.539611360239146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786"/>
      <c r="W25" s="787"/>
    </row>
    <row r="26" spans="1:25" ht="21.95" customHeight="1" x14ac:dyDescent="0.2">
      <c r="A26" s="989" t="s">
        <v>40</v>
      </c>
      <c r="B26" s="990"/>
      <c r="C26" s="692">
        <v>200.7</v>
      </c>
      <c r="D26" s="693" t="s">
        <v>19</v>
      </c>
      <c r="E26" s="694">
        <f>SUM(E12:E25)</f>
        <v>200.70000000000016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788" t="s">
        <v>110</v>
      </c>
      <c r="W26" s="789">
        <v>1.16E-3</v>
      </c>
      <c r="X26" s="533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</v>
      </c>
      <c r="F27" s="700">
        <f>IF((E27/G6*100)&gt;1,"Fehler zu groß",(E27/G6*100))</f>
        <v>0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790" t="s">
        <v>112</v>
      </c>
      <c r="W27" s="791">
        <f>W26*(W21*W21)*(0.7+0.003*W19)</f>
        <v>4.2862614800000001E-8</v>
      </c>
      <c r="X27" s="792" t="str">
        <f>IF(W22&lt;5.000001,"OK","U größer 5")</f>
        <v>U größer 5</v>
      </c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793" t="s">
        <v>120</v>
      </c>
      <c r="W29" s="553"/>
      <c r="X29" s="794" t="s">
        <v>113</v>
      </c>
      <c r="Y29" s="795"/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796" t="s">
        <v>116</v>
      </c>
      <c r="W31" s="803" t="str">
        <f>IF(W21&gt;0.059,"OK","ungültig")</f>
        <v>ungültig</v>
      </c>
      <c r="X31" s="531"/>
      <c r="Y31" s="797"/>
    </row>
    <row r="32" spans="1:25" ht="21.95" customHeight="1" x14ac:dyDescent="0.35">
      <c r="A32" s="737" t="s">
        <v>80</v>
      </c>
      <c r="B32" s="713"/>
      <c r="C32" s="713"/>
      <c r="D32" s="713"/>
      <c r="E32" s="714"/>
      <c r="F32" s="715">
        <v>6.02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737" t="s">
        <v>45</v>
      </c>
      <c r="B33" s="737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737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5" ht="21.95" customHeight="1" x14ac:dyDescent="0.3">
      <c r="A35" s="737" t="s">
        <v>36</v>
      </c>
      <c r="B35" s="713"/>
      <c r="C35" s="713"/>
      <c r="D35" s="713"/>
      <c r="E35" s="714"/>
      <c r="F35" s="715">
        <v>30.67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786" t="s">
        <v>121</v>
      </c>
      <c r="W35" s="530" t="s">
        <v>336</v>
      </c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5.2365849561806526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801">
        <f>(W24)</f>
        <v>6.0229867999999991E-7</v>
      </c>
      <c r="W36" s="838">
        <v>2.1459999999999999E-6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3"/>
  <dimension ref="A1:AE36"/>
  <sheetViews>
    <sheetView topLeftCell="A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64</v>
      </c>
      <c r="D3" s="580" t="s">
        <v>25</v>
      </c>
      <c r="E3" s="582">
        <v>39820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13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212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1.0165</v>
      </c>
      <c r="M4" s="602">
        <f t="shared" ref="M4:M10" si="0">(L4-1)*1000</f>
        <v>16.499999999999957</v>
      </c>
      <c r="N4" s="602">
        <f>M4+$G$33</f>
        <v>17.999999999999904</v>
      </c>
      <c r="O4" s="605">
        <v>-0.2</v>
      </c>
      <c r="P4" s="606">
        <f t="shared" ref="P4:P10" si="1">N4+O4</f>
        <v>17.799999999999905</v>
      </c>
      <c r="Q4" s="607">
        <f>((18.35*V4/($F$34-W4))*Z4)^0.5</f>
        <v>7.1175019891078606E-2</v>
      </c>
      <c r="R4" s="602">
        <f t="shared" ref="R4:R10" si="2">$F$36*P4</f>
        <v>80.483892983892559</v>
      </c>
      <c r="S4" s="608">
        <f t="shared" ref="S4:S10" si="3">$G$24/100*R4</f>
        <v>9.4904219793892626</v>
      </c>
      <c r="T4" s="530">
        <f>(S4/S$13)*S$4</f>
        <v>1.8790824386332545</v>
      </c>
      <c r="U4" s="609">
        <f>1+0.001*N4</f>
        <v>1.0179999999999998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4.9713600000000966</v>
      </c>
      <c r="Y4" s="612">
        <f t="shared" ref="Y4:Y12" si="4">X4+$AB$5+0.5*($AC$5-$AD$5/$AE$5)</f>
        <v>13.326577665612373</v>
      </c>
      <c r="Z4" s="613">
        <f t="shared" ref="Z4:Z12" si="5">Y4/I4</f>
        <v>0.44421925552041241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19</v>
      </c>
      <c r="L5" s="604">
        <v>1.016</v>
      </c>
      <c r="M5" s="602">
        <f t="shared" si="0"/>
        <v>16.000000000000014</v>
      </c>
      <c r="N5" s="602">
        <f t="shared" ref="N5:N12" si="6">M5+$G$33</f>
        <v>17.499999999999961</v>
      </c>
      <c r="O5" s="605">
        <v>-0.2</v>
      </c>
      <c r="P5" s="606">
        <f t="shared" si="1"/>
        <v>17.299999999999962</v>
      </c>
      <c r="Q5" s="607">
        <f t="shared" ref="Q5:Q12" si="7">((18.35*V5/($F$34-W5))*Z5)^0.5</f>
        <v>5.0717967156619914E-2</v>
      </c>
      <c r="R5" s="602">
        <f t="shared" si="2"/>
        <v>78.223109473109304</v>
      </c>
      <c r="S5" s="608">
        <f t="shared" si="3"/>
        <v>9.2238370923277948</v>
      </c>
      <c r="T5" s="530">
        <f t="shared" ref="T5:T12" si="8">(S5/S$13)*S$4</f>
        <v>1.8262992240649103</v>
      </c>
      <c r="U5" s="609">
        <f t="shared" ref="U5:U12" si="9">1+0.001*N5</f>
        <v>1.0175000000000001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5.1784999999999819</v>
      </c>
      <c r="Y5" s="612">
        <f t="shared" si="4"/>
        <v>13.533717665612258</v>
      </c>
      <c r="Z5" s="613">
        <f t="shared" si="5"/>
        <v>0.22556196109353763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27.154670260568732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570.20000000000005</v>
      </c>
      <c r="I6" s="601">
        <f t="shared" ref="I6:I12" si="13">J6*60</f>
        <v>120</v>
      </c>
      <c r="J6" s="621">
        <v>2</v>
      </c>
      <c r="K6" s="603">
        <v>19</v>
      </c>
      <c r="L6" s="604">
        <v>1.0155000000000001</v>
      </c>
      <c r="M6" s="602">
        <f t="shared" si="0"/>
        <v>15.500000000000069</v>
      </c>
      <c r="N6" s="602">
        <f t="shared" si="6"/>
        <v>17.000000000000014</v>
      </c>
      <c r="O6" s="605">
        <v>-0.2</v>
      </c>
      <c r="P6" s="606">
        <f t="shared" si="1"/>
        <v>16.800000000000015</v>
      </c>
      <c r="Q6" s="607">
        <f t="shared" si="7"/>
        <v>3.6136426613268435E-2</v>
      </c>
      <c r="R6" s="602">
        <f t="shared" si="2"/>
        <v>75.962325962326034</v>
      </c>
      <c r="S6" s="608">
        <f t="shared" si="3"/>
        <v>8.9572522052663253</v>
      </c>
      <c r="T6" s="530">
        <f t="shared" si="8"/>
        <v>1.7735160094965656</v>
      </c>
      <c r="U6" s="609">
        <f t="shared" si="9"/>
        <v>1.0169999999999999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5.3856400000000511</v>
      </c>
      <c r="Y6" s="612">
        <f t="shared" si="4"/>
        <v>13.740857665612328</v>
      </c>
      <c r="Z6" s="613">
        <f t="shared" si="5"/>
        <v>0.11450714721343606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1.0109999999999999</v>
      </c>
      <c r="M7" s="602">
        <f t="shared" si="0"/>
        <v>10.999999999999899</v>
      </c>
      <c r="N7" s="602">
        <f t="shared" si="6"/>
        <v>12.499999999999844</v>
      </c>
      <c r="O7" s="605">
        <v>-0.2</v>
      </c>
      <c r="P7" s="606">
        <f t="shared" si="1"/>
        <v>12.299999999999844</v>
      </c>
      <c r="Q7" s="607">
        <f t="shared" si="7"/>
        <v>2.435576660679277E-2</v>
      </c>
      <c r="R7" s="602">
        <f t="shared" si="2"/>
        <v>55.61527436527367</v>
      </c>
      <c r="S7" s="608">
        <f t="shared" si="3"/>
        <v>6.5579882217127574</v>
      </c>
      <c r="T7" s="530">
        <f t="shared" si="8"/>
        <v>1.2984670783813965</v>
      </c>
      <c r="U7" s="609">
        <f t="shared" si="9"/>
        <v>1.0124999999999997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7.2499000000001219</v>
      </c>
      <c r="Y7" s="612">
        <f t="shared" si="4"/>
        <v>15.605117665612399</v>
      </c>
      <c r="Z7" s="613">
        <f t="shared" si="5"/>
        <v>5.201705888537466E-2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1.0069999999999999</v>
      </c>
      <c r="M8" s="602">
        <f t="shared" si="0"/>
        <v>6.9999999999998952</v>
      </c>
      <c r="N8" s="602">
        <f t="shared" si="6"/>
        <v>8.4999999999998401</v>
      </c>
      <c r="O8" s="605">
        <v>-0.2</v>
      </c>
      <c r="P8" s="606">
        <f t="shared" si="1"/>
        <v>8.2999999999998408</v>
      </c>
      <c r="Q8" s="607">
        <f t="shared" si="7"/>
        <v>1.4789592171616392E-2</v>
      </c>
      <c r="R8" s="602">
        <f t="shared" si="2"/>
        <v>37.529006279005564</v>
      </c>
      <c r="S8" s="608">
        <f t="shared" si="3"/>
        <v>4.4253091252207755</v>
      </c>
      <c r="T8" s="530">
        <f t="shared" si="8"/>
        <v>0.8762013618345954</v>
      </c>
      <c r="U8" s="609">
        <f t="shared" si="9"/>
        <v>1.0084999999999997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8.9070200000001236</v>
      </c>
      <c r="Y8" s="612">
        <f t="shared" si="4"/>
        <v>17.2622376656124</v>
      </c>
      <c r="Z8" s="613">
        <f t="shared" si="5"/>
        <v>1.9180264072902665E-2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1.0049999999999999</v>
      </c>
      <c r="M9" s="602">
        <f t="shared" si="0"/>
        <v>4.9999999999998934</v>
      </c>
      <c r="N9" s="602">
        <f t="shared" si="6"/>
        <v>6.4999999999998392</v>
      </c>
      <c r="O9" s="605">
        <v>-0.2</v>
      </c>
      <c r="P9" s="606">
        <f t="shared" si="1"/>
        <v>6.2999999999998391</v>
      </c>
      <c r="Q9" s="607">
        <f t="shared" si="7"/>
        <v>8.7412971400132305E-3</v>
      </c>
      <c r="R9" s="602">
        <f t="shared" si="2"/>
        <v>28.485872235871511</v>
      </c>
      <c r="S9" s="608">
        <f t="shared" si="3"/>
        <v>3.3589695769747836</v>
      </c>
      <c r="T9" s="530">
        <f t="shared" si="8"/>
        <v>0.66506850356119462</v>
      </c>
      <c r="U9" s="609">
        <f t="shared" si="9"/>
        <v>1.0065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9.7355800000000308</v>
      </c>
      <c r="Y9" s="612">
        <f t="shared" si="4"/>
        <v>18.090797665612307</v>
      </c>
      <c r="Z9" s="613">
        <f t="shared" si="5"/>
        <v>6.7002954317082614E-3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1.004</v>
      </c>
      <c r="M10" s="602">
        <f t="shared" si="0"/>
        <v>4.0000000000000036</v>
      </c>
      <c r="N10" s="602">
        <f t="shared" si="6"/>
        <v>5.4999999999999494</v>
      </c>
      <c r="O10" s="605">
        <v>-0.2</v>
      </c>
      <c r="P10" s="606">
        <f t="shared" si="1"/>
        <v>5.2999999999999492</v>
      </c>
      <c r="Q10" s="607">
        <f t="shared" si="7"/>
        <v>5.4138736398216683E-3</v>
      </c>
      <c r="R10" s="602">
        <f t="shared" si="2"/>
        <v>23.964305214304986</v>
      </c>
      <c r="S10" s="608">
        <f t="shared" si="3"/>
        <v>2.8257998028518472</v>
      </c>
      <c r="T10" s="530">
        <f t="shared" si="8"/>
        <v>0.55950207442450595</v>
      </c>
      <c r="U10" s="609">
        <f t="shared" si="9"/>
        <v>1.0055000000000001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10.149859999999986</v>
      </c>
      <c r="Y10" s="612">
        <f t="shared" si="4"/>
        <v>18.505077665612262</v>
      </c>
      <c r="Z10" s="613">
        <f t="shared" si="5"/>
        <v>2.5701496757794809E-3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1.002</v>
      </c>
      <c r="M11" s="602">
        <f>(L11-1)*1000</f>
        <v>2.0000000000000018</v>
      </c>
      <c r="N11" s="602">
        <f t="shared" si="6"/>
        <v>3.4999999999999476</v>
      </c>
      <c r="O11" s="605">
        <v>-0.2</v>
      </c>
      <c r="P11" s="606">
        <f>N11+O11</f>
        <v>3.2999999999999474</v>
      </c>
      <c r="Q11" s="607">
        <f t="shared" si="7"/>
        <v>3.1949114018161979E-3</v>
      </c>
      <c r="R11" s="602">
        <f>$F$36*P11</f>
        <v>14.921171171170934</v>
      </c>
      <c r="S11" s="608">
        <f>$G$24/100*R11</f>
        <v>1.759460254605856</v>
      </c>
      <c r="T11" s="530">
        <f t="shared" si="8"/>
        <v>0.34836921615110528</v>
      </c>
      <c r="U11" s="609">
        <f t="shared" si="9"/>
        <v>1.0034999999999998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10.97842000000008</v>
      </c>
      <c r="Y11" s="612">
        <f t="shared" si="4"/>
        <v>19.333637665612358</v>
      </c>
      <c r="Z11" s="613">
        <f t="shared" si="5"/>
        <v>8.9507581785242397E-4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725">
        <v>20</v>
      </c>
      <c r="L12" s="660">
        <v>1.0009999999999999</v>
      </c>
      <c r="M12" s="661">
        <f>(L12-1)*1000</f>
        <v>0.99999999999988987</v>
      </c>
      <c r="N12" s="661">
        <f t="shared" si="6"/>
        <v>2.4999999999998357</v>
      </c>
      <c r="O12" s="726">
        <v>0</v>
      </c>
      <c r="P12" s="662">
        <f>N12+O12</f>
        <v>2.4999999999998357</v>
      </c>
      <c r="Q12" s="663">
        <f t="shared" si="7"/>
        <v>1.594071974859347E-3</v>
      </c>
      <c r="R12" s="661">
        <f>$F$36*P12</f>
        <v>11.303917553916813</v>
      </c>
      <c r="S12" s="664">
        <f>$G$24/100*R12</f>
        <v>1.3329244353074003</v>
      </c>
      <c r="T12" s="530">
        <f t="shared" si="8"/>
        <v>0.26391607284173335</v>
      </c>
      <c r="U12" s="609">
        <f t="shared" si="9"/>
        <v>1.0024999999999999</v>
      </c>
      <c r="V12" s="610">
        <f t="shared" si="10"/>
        <v>1.0102156640181611E-3</v>
      </c>
      <c r="W12" s="609">
        <f t="shared" si="11"/>
        <v>0.98259200696775639</v>
      </c>
      <c r="X12" s="611">
        <f t="shared" si="12"/>
        <v>11.392700000000033</v>
      </c>
      <c r="Y12" s="612">
        <f t="shared" si="4"/>
        <v>19.747917665612309</v>
      </c>
      <c r="Z12" s="613">
        <f t="shared" si="5"/>
        <v>2.2856386187051285E-4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47.931962693656807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17.899999999999999</v>
      </c>
      <c r="E14" s="668">
        <f>D14</f>
        <v>17.899999999999999</v>
      </c>
      <c r="F14" s="651">
        <f t="shared" si="14"/>
        <v>3.1597528684907323</v>
      </c>
      <c r="G14" s="669">
        <f t="shared" si="15"/>
        <v>96.840247131509273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13.2</v>
      </c>
      <c r="E15" s="656">
        <f>D15</f>
        <v>13.2</v>
      </c>
      <c r="F15" s="673">
        <f t="shared" si="14"/>
        <v>2.3300970873786406</v>
      </c>
      <c r="G15" s="674">
        <f t="shared" si="15"/>
        <v>94.510150044130626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630.4</v>
      </c>
      <c r="E16" s="678">
        <f>D16-C16</f>
        <v>0</v>
      </c>
      <c r="F16" s="651">
        <f t="shared" si="14"/>
        <v>0</v>
      </c>
      <c r="G16" s="657">
        <f t="shared" si="15"/>
        <v>94.510150044130626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525.9</v>
      </c>
      <c r="E17" s="681">
        <f t="shared" ref="E17:E24" si="16">D17-C17</f>
        <v>6.6000000000000227</v>
      </c>
      <c r="F17" s="651">
        <f t="shared" si="14"/>
        <v>1.1650485436893243</v>
      </c>
      <c r="G17" s="669">
        <f t="shared" si="15"/>
        <v>93.345101500441302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5" ht="21.95" customHeight="1" x14ac:dyDescent="0.2">
      <c r="A18" s="986"/>
      <c r="B18" s="679">
        <v>2</v>
      </c>
      <c r="C18" s="666">
        <v>506.2</v>
      </c>
      <c r="D18" s="680">
        <v>554.1</v>
      </c>
      <c r="E18" s="682">
        <f t="shared" si="16"/>
        <v>47.900000000000034</v>
      </c>
      <c r="F18" s="651">
        <f t="shared" si="14"/>
        <v>8.4554280670785591</v>
      </c>
      <c r="G18" s="669">
        <f t="shared" si="15"/>
        <v>84.889673433362745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5" ht="21.95" customHeight="1" x14ac:dyDescent="0.2">
      <c r="A19" s="986"/>
      <c r="B19" s="679">
        <v>1</v>
      </c>
      <c r="C19" s="666">
        <v>383.8</v>
      </c>
      <c r="D19" s="680">
        <v>461.3</v>
      </c>
      <c r="E19" s="681">
        <f t="shared" si="16"/>
        <v>77.5</v>
      </c>
      <c r="F19" s="651">
        <f t="shared" si="14"/>
        <v>13.680494263018536</v>
      </c>
      <c r="G19" s="669">
        <f t="shared" si="15"/>
        <v>71.209179170344214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781" t="s">
        <v>109</v>
      </c>
      <c r="W19" s="782">
        <v>11</v>
      </c>
    </row>
    <row r="20" spans="1:25" ht="21.95" customHeight="1" x14ac:dyDescent="0.2">
      <c r="A20" s="986"/>
      <c r="B20" s="665">
        <v>0.63</v>
      </c>
      <c r="C20" s="666">
        <v>376.2</v>
      </c>
      <c r="D20" s="680">
        <v>428.7</v>
      </c>
      <c r="E20" s="682">
        <f t="shared" si="16"/>
        <v>52.5</v>
      </c>
      <c r="F20" s="651">
        <f t="shared" si="14"/>
        <v>9.2674315975286845</v>
      </c>
      <c r="G20" s="669">
        <f t="shared" si="15"/>
        <v>61.94174757281553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781" t="s">
        <v>107</v>
      </c>
      <c r="W20" s="782">
        <v>0.53</v>
      </c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369.2</v>
      </c>
      <c r="E21" s="681">
        <f t="shared" si="16"/>
        <v>38.399999999999977</v>
      </c>
      <c r="F21" s="651">
        <f t="shared" si="14"/>
        <v>6.7784642541924054</v>
      </c>
      <c r="G21" s="669">
        <f t="shared" si="15"/>
        <v>55.163283318623122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781" t="s">
        <v>108</v>
      </c>
      <c r="W21" s="782">
        <v>0.05</v>
      </c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419</v>
      </c>
      <c r="E22" s="682">
        <f t="shared" si="16"/>
        <v>92.899999999999977</v>
      </c>
      <c r="F22" s="651">
        <f t="shared" si="14"/>
        <v>16.398940864960281</v>
      </c>
      <c r="G22" s="669">
        <f t="shared" si="15"/>
        <v>38.764342453662842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783" t="s">
        <v>106</v>
      </c>
      <c r="W22" s="784">
        <f>W20/W21</f>
        <v>10.6</v>
      </c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409.1</v>
      </c>
      <c r="E23" s="681">
        <f t="shared" si="16"/>
        <v>104.70000000000005</v>
      </c>
      <c r="F23" s="651">
        <f t="shared" si="14"/>
        <v>18.481906443071498</v>
      </c>
      <c r="G23" s="684">
        <f t="shared" si="15"/>
        <v>20.282436010591343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361.8</v>
      </c>
      <c r="E24" s="682">
        <f t="shared" si="16"/>
        <v>48.100000000000023</v>
      </c>
      <c r="F24" s="686">
        <f t="shared" si="14"/>
        <v>8.4907325684024766</v>
      </c>
      <c r="G24" s="687">
        <f t="shared" si="15"/>
        <v>11.791703442188867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0" t="s">
        <v>111</v>
      </c>
      <c r="W24" s="785">
        <f>0.0116*(W21*W21)*(0.7+0.03*W19)</f>
        <v>2.9869999999999997E-5</v>
      </c>
    </row>
    <row r="25" spans="1:25" ht="21.95" customHeight="1" thickBot="1" x14ac:dyDescent="0.3">
      <c r="A25" s="812"/>
      <c r="B25" s="670" t="s">
        <v>14</v>
      </c>
      <c r="C25" s="689">
        <v>367.5</v>
      </c>
      <c r="D25" s="690">
        <v>434.3</v>
      </c>
      <c r="E25" s="691">
        <f>D25-C25+(G6-C26)</f>
        <v>66.800000000000011</v>
      </c>
      <c r="F25" s="651">
        <f t="shared" si="14"/>
        <v>11.791703442188881</v>
      </c>
      <c r="G25" s="657">
        <f>G24-F25</f>
        <v>-1.4210854715202004E-14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786"/>
      <c r="W25" s="787"/>
    </row>
    <row r="26" spans="1:25" ht="21.95" customHeight="1" x14ac:dyDescent="0.2">
      <c r="A26" s="989" t="s">
        <v>40</v>
      </c>
      <c r="B26" s="990"/>
      <c r="C26" s="692">
        <v>570.20000000000005</v>
      </c>
      <c r="D26" s="693" t="s">
        <v>19</v>
      </c>
      <c r="E26" s="694">
        <f>SUM(E12:E25)</f>
        <v>566.5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788" t="s">
        <v>110</v>
      </c>
      <c r="W26" s="789">
        <v>1.16E-3</v>
      </c>
      <c r="X26" s="533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3.7000000000000455</v>
      </c>
      <c r="F27" s="700">
        <f>IF((E27/G6*100)&gt;1,"Fehler zu groß",(E27/G6*100))</f>
        <v>0.64889512451772102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790" t="s">
        <v>112</v>
      </c>
      <c r="W27" s="791">
        <f>W26*(W21*W21)*(0.7+0.003*W19)</f>
        <v>2.1257000000000002E-6</v>
      </c>
      <c r="X27" s="792" t="str">
        <f>IF(W22&lt;5.000001,"OK","U größer 5")</f>
        <v>U größer 5</v>
      </c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793" t="s">
        <v>120</v>
      </c>
      <c r="W29" s="553"/>
      <c r="X29" s="794" t="s">
        <v>113</v>
      </c>
      <c r="Y29" s="795"/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796" t="s">
        <v>116</v>
      </c>
      <c r="W31" s="803" t="str">
        <f>IF(W21&gt;0.059,"OK","ungültig")</f>
        <v>ungültig</v>
      </c>
      <c r="X31" s="531"/>
      <c r="Y31" s="797"/>
    </row>
    <row r="32" spans="1:25" ht="21.95" customHeight="1" x14ac:dyDescent="0.35">
      <c r="A32" s="811" t="s">
        <v>80</v>
      </c>
      <c r="B32" s="713"/>
      <c r="C32" s="713"/>
      <c r="D32" s="713"/>
      <c r="E32" s="714"/>
      <c r="F32" s="715">
        <v>5.88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811" t="s">
        <v>45</v>
      </c>
      <c r="B33" s="81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81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5" ht="21.95" customHeight="1" x14ac:dyDescent="0.3">
      <c r="A35" s="811" t="s">
        <v>36</v>
      </c>
      <c r="B35" s="713"/>
      <c r="C35" s="713"/>
      <c r="D35" s="713"/>
      <c r="E35" s="714"/>
      <c r="F35" s="715">
        <v>35.520000000000003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786" t="s">
        <v>121</v>
      </c>
      <c r="W35" s="530" t="s">
        <v>335</v>
      </c>
      <c r="X35" s="530" t="s">
        <v>336</v>
      </c>
      <c r="Y35" s="530" t="s">
        <v>333</v>
      </c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4.5215670215670221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801">
        <f>(W24)</f>
        <v>2.9869999999999997E-5</v>
      </c>
      <c r="W36" s="838">
        <v>1.9850000000000001E-5</v>
      </c>
      <c r="X36" s="838">
        <v>1.7859999999999998E-5</v>
      </c>
      <c r="Y36" s="838">
        <v>2.1840000000000001E-5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4"/>
  <dimension ref="A1:AE36"/>
  <sheetViews>
    <sheetView topLeftCell="A9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65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769.3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0</v>
      </c>
      <c r="F15" s="194">
        <f t="shared" si="13"/>
        <v>0</v>
      </c>
      <c r="G15" s="195">
        <f t="shared" si="14"/>
        <v>100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9.9</v>
      </c>
      <c r="F16" s="170">
        <f t="shared" si="13"/>
        <v>1.2953028915347375</v>
      </c>
      <c r="G16" s="176">
        <f t="shared" si="14"/>
        <v>98.704697108465268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92.1</v>
      </c>
      <c r="F17" s="170">
        <f t="shared" si="13"/>
        <v>12.050242051550436</v>
      </c>
      <c r="G17" s="182">
        <f t="shared" si="14"/>
        <v>86.654455056914827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155</v>
      </c>
      <c r="F18" s="170">
        <f t="shared" si="13"/>
        <v>20.279994766452962</v>
      </c>
      <c r="G18" s="182">
        <f t="shared" si="14"/>
        <v>66.374460290461869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28.3</v>
      </c>
      <c r="F19" s="170">
        <f t="shared" si="13"/>
        <v>3.7027345283265731</v>
      </c>
      <c r="G19" s="182">
        <f t="shared" si="14"/>
        <v>62.671725762135296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89.7</v>
      </c>
      <c r="F20" s="170">
        <f t="shared" si="13"/>
        <v>11.736229229360198</v>
      </c>
      <c r="G20" s="182">
        <f t="shared" si="14"/>
        <v>50.935496532775097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0.91779999999999995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74.099999999999994</v>
      </c>
      <c r="F21" s="170">
        <f t="shared" si="13"/>
        <v>9.6951458851236403</v>
      </c>
      <c r="G21" s="182">
        <f t="shared" si="14"/>
        <v>41.240350647651454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8.2100000000000006E-2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108.4</v>
      </c>
      <c r="F22" s="170">
        <f t="shared" si="13"/>
        <v>14.182912468925815</v>
      </c>
      <c r="G22" s="182">
        <f t="shared" si="14"/>
        <v>27.05743817872564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11.179049939098659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108.1</v>
      </c>
      <c r="F23" s="170">
        <f t="shared" si="13"/>
        <v>14.143660866152032</v>
      </c>
      <c r="G23" s="211">
        <f t="shared" si="14"/>
        <v>12.913777312573608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46</v>
      </c>
      <c r="F24" s="213">
        <f t="shared" si="13"/>
        <v>6.0185790919795892</v>
      </c>
      <c r="G24" s="214">
        <f t="shared" si="14"/>
        <v>6.8951982205940183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8.0534418679999997E-5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52.7</v>
      </c>
      <c r="F25" s="170">
        <f t="shared" si="13"/>
        <v>6.8951982205940077</v>
      </c>
      <c r="G25" s="176">
        <f>G24-F25</f>
        <v>1.0658141036401503E-14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>
        <v>769.3</v>
      </c>
      <c r="D26" s="735" t="s">
        <v>19</v>
      </c>
      <c r="E26" s="221">
        <f>SUM(E12:E25)</f>
        <v>764.30000000000007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4.9999999999998863</v>
      </c>
      <c r="F27" s="310">
        <f>IF((E27/G6*100)&gt;1,"Fehler zu groß",(E27/G6*100))</f>
        <v>0.64994150526451144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5.7312358148000014E-6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4.8000000000000001E-5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6.4267209339999992E-5</v>
      </c>
      <c r="W36" s="838">
        <v>4.9539999999999997E-5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5"/>
  <dimension ref="A1:AE36"/>
  <sheetViews>
    <sheetView topLeftCell="A17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66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848.6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64.599999999999994</v>
      </c>
      <c r="F13" s="170">
        <f t="shared" si="13"/>
        <v>7.6215195847097679</v>
      </c>
      <c r="G13" s="182">
        <f t="shared" si="14"/>
        <v>92.378480415290227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42.6</v>
      </c>
      <c r="F14" s="170">
        <f t="shared" si="13"/>
        <v>5.0259556394525724</v>
      </c>
      <c r="G14" s="182">
        <f t="shared" si="14"/>
        <v>87.352524775837651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125.7</v>
      </c>
      <c r="F15" s="194">
        <f t="shared" si="13"/>
        <v>14.830108541764982</v>
      </c>
      <c r="G15" s="195">
        <f t="shared" si="14"/>
        <v>72.522416234072665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40.1</v>
      </c>
      <c r="F16" s="170">
        <f t="shared" si="13"/>
        <v>4.7310051911278901</v>
      </c>
      <c r="G16" s="176">
        <f t="shared" si="14"/>
        <v>67.791411042944773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57.6</v>
      </c>
      <c r="F17" s="170">
        <f t="shared" si="13"/>
        <v>6.7956583294006609</v>
      </c>
      <c r="G17" s="182">
        <f t="shared" si="14"/>
        <v>60.995752713544114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150</v>
      </c>
      <c r="F18" s="170">
        <f t="shared" si="13"/>
        <v>17.697026899480885</v>
      </c>
      <c r="G18" s="182">
        <f t="shared" si="14"/>
        <v>43.298725814063232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95.9</v>
      </c>
      <c r="F19" s="170">
        <f t="shared" si="13"/>
        <v>11.314299197734782</v>
      </c>
      <c r="G19" s="182">
        <f t="shared" si="14"/>
        <v>31.984426616328449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67.7</v>
      </c>
      <c r="F20" s="170">
        <f t="shared" si="13"/>
        <v>7.9872581406323739</v>
      </c>
      <c r="G20" s="182">
        <f t="shared" si="14"/>
        <v>23.997168475696075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3.85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37.799999999999997</v>
      </c>
      <c r="F21" s="170">
        <f t="shared" si="13"/>
        <v>4.4596507786691832</v>
      </c>
      <c r="G21" s="182">
        <f t="shared" si="14"/>
        <v>19.537517697026892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0.12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47.9</v>
      </c>
      <c r="F22" s="170">
        <f t="shared" si="13"/>
        <v>5.6512505899008962</v>
      </c>
      <c r="G22" s="182">
        <f t="shared" si="14"/>
        <v>13.886267107125995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32.083333333333336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46.6</v>
      </c>
      <c r="F23" s="170">
        <f t="shared" si="13"/>
        <v>5.4978763567720623</v>
      </c>
      <c r="G23" s="211">
        <f t="shared" si="14"/>
        <v>8.388390750353933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23.6</v>
      </c>
      <c r="F24" s="213">
        <f t="shared" si="13"/>
        <v>2.784332232184993</v>
      </c>
      <c r="G24" s="214">
        <f t="shared" si="14"/>
        <v>5.60405851816894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1.7205119999999993E-4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47.5</v>
      </c>
      <c r="F25" s="170">
        <f t="shared" si="13"/>
        <v>5.6040585181689471</v>
      </c>
      <c r="G25" s="176">
        <f>G24-F25</f>
        <v>-7.1054273576010019E-15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847.6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</v>
      </c>
      <c r="F27" s="310">
        <f>IF((E27/G6*100)&gt;1,"Fehler zu groß",(E27/G6*100))</f>
        <v>0.11784115012962526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1.2244031999999997E-5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8.3999999999999995E-5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1.2802559999999997E-4</v>
      </c>
      <c r="W36" s="838">
        <v>3.3869999999999999E-4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6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67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878.8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0</v>
      </c>
      <c r="F13" s="170">
        <f t="shared" si="13"/>
        <v>0</v>
      </c>
      <c r="G13" s="182">
        <f t="shared" si="14"/>
        <v>100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0</v>
      </c>
      <c r="F14" s="170">
        <f t="shared" si="13"/>
        <v>0</v>
      </c>
      <c r="G14" s="182">
        <f t="shared" si="14"/>
        <v>100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76.5</v>
      </c>
      <c r="F15" s="194">
        <f t="shared" si="13"/>
        <v>8.7060430180949133</v>
      </c>
      <c r="G15" s="195">
        <f t="shared" si="14"/>
        <v>91.293956981905083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52.300000000000011</v>
      </c>
      <c r="F16" s="170">
        <f t="shared" si="13"/>
        <v>5.9519745077956081</v>
      </c>
      <c r="G16" s="176">
        <f t="shared" si="14"/>
        <v>85.341982474109471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88.700000000000045</v>
      </c>
      <c r="F17" s="170">
        <f t="shared" si="13"/>
        <v>10.094457721634237</v>
      </c>
      <c r="G17" s="182">
        <f t="shared" si="14"/>
        <v>75.247524752475229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189.89999999999998</v>
      </c>
      <c r="F18" s="170">
        <f t="shared" si="13"/>
        <v>21.611471491976779</v>
      </c>
      <c r="G18" s="182">
        <f t="shared" si="14"/>
        <v>53.63605326049845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183.3</v>
      </c>
      <c r="F19" s="170">
        <f t="shared" si="13"/>
        <v>20.860361898258791</v>
      </c>
      <c r="G19" s="182">
        <f t="shared" si="14"/>
        <v>32.775691362239655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129.60000000000002</v>
      </c>
      <c r="F20" s="170">
        <f t="shared" si="13"/>
        <v>14.749061113007855</v>
      </c>
      <c r="G20" s="182">
        <f t="shared" si="14"/>
        <v>18.0266302492318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2.5926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73.699999999999989</v>
      </c>
      <c r="F21" s="170">
        <f t="shared" si="13"/>
        <v>8.3873904631842482</v>
      </c>
      <c r="G21" s="182">
        <f t="shared" si="14"/>
        <v>9.6392397860475523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0.41099999999999998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52.400000000000034</v>
      </c>
      <c r="F22" s="170">
        <f t="shared" si="13"/>
        <v>5.9633549561852774</v>
      </c>
      <c r="G22" s="182">
        <f t="shared" si="14"/>
        <v>3.6758848298622748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6.308029197080292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11.800000000000011</v>
      </c>
      <c r="F23" s="170">
        <f t="shared" si="13"/>
        <v>1.3428929099806544</v>
      </c>
      <c r="G23" s="211">
        <f t="shared" si="14"/>
        <v>2.3329919198816205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10.699999999999989</v>
      </c>
      <c r="F24" s="213">
        <f t="shared" si="13"/>
        <v>1.2177079776943198</v>
      </c>
      <c r="G24" s="214">
        <f t="shared" si="14"/>
        <v>1.1152839421873006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2.0182681079999997E-3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9.8000000000000114</v>
      </c>
      <c r="F25" s="170">
        <f t="shared" si="13"/>
        <v>1.1152839421873233</v>
      </c>
      <c r="G25" s="176">
        <f>G24-F25</f>
        <v>-2.2648549702353193E-14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878.7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9.9999999999909051E-2</v>
      </c>
      <c r="F27" s="310">
        <f>IF((E27/G6*100)&gt;1,"Fehler zu groß",(E27/G6*100))</f>
        <v>1.1379153390977361E-2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1.4363014788E-4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1.3500000000000001E-3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1.6841340539999999E-3</v>
      </c>
      <c r="W36" s="838">
        <v>1.242E-3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7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68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690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98</v>
      </c>
      <c r="F13" s="170">
        <f t="shared" si="13"/>
        <v>14.209076410033342</v>
      </c>
      <c r="G13" s="182">
        <f t="shared" si="14"/>
        <v>85.790923589966653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76.5</v>
      </c>
      <c r="F14" s="170">
        <f t="shared" si="13"/>
        <v>11.091779034362762</v>
      </c>
      <c r="G14" s="182">
        <f t="shared" si="14"/>
        <v>74.699144555603894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105.9</v>
      </c>
      <c r="F15" s="194">
        <f t="shared" si="13"/>
        <v>15.354501957372765</v>
      </c>
      <c r="G15" s="195">
        <f t="shared" si="14"/>
        <v>59.344642598231133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22.200000000000045</v>
      </c>
      <c r="F16" s="170">
        <f t="shared" si="13"/>
        <v>3.2187907785993968</v>
      </c>
      <c r="G16" s="176">
        <f t="shared" si="14"/>
        <v>56.125851819631734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49.700000000000045</v>
      </c>
      <c r="F17" s="170">
        <f t="shared" si="13"/>
        <v>7.2060316079454871</v>
      </c>
      <c r="G17" s="182">
        <f t="shared" si="14"/>
        <v>48.919820211686243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50.300000000000011</v>
      </c>
      <c r="F18" s="170">
        <f t="shared" si="13"/>
        <v>7.293025953313033</v>
      </c>
      <c r="G18" s="182">
        <f t="shared" si="14"/>
        <v>41.626794258373209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43.300000000000011</v>
      </c>
      <c r="F19" s="170">
        <f t="shared" si="13"/>
        <v>6.2780919240249382</v>
      </c>
      <c r="G19" s="182">
        <f t="shared" si="14"/>
        <v>35.348702334348275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96.900000000000034</v>
      </c>
      <c r="F20" s="170">
        <f t="shared" si="13"/>
        <v>14.049586776859504</v>
      </c>
      <c r="G20" s="182">
        <f t="shared" si="14"/>
        <v>21.299115557488769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10.050000000000001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80.699999999999989</v>
      </c>
      <c r="F21" s="170">
        <f t="shared" si="13"/>
        <v>11.700739451935618</v>
      </c>
      <c r="G21" s="182">
        <f t="shared" si="14"/>
        <v>9.5983761055531502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0.40500000000000003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35.599999999999966</v>
      </c>
      <c r="F22" s="170">
        <f t="shared" si="13"/>
        <v>5.1616644918080254</v>
      </c>
      <c r="G22" s="182">
        <f t="shared" si="14"/>
        <v>4.4367116137451248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24.814814814814817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13</v>
      </c>
      <c r="F23" s="170">
        <f t="shared" si="13"/>
        <v>1.8848774829636068</v>
      </c>
      <c r="G23" s="211">
        <f t="shared" si="14"/>
        <v>2.551834130781518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6.2000000000000455</v>
      </c>
      <c r="F24" s="213">
        <f t="shared" si="13"/>
        <v>0.89894156879803433</v>
      </c>
      <c r="G24" s="214">
        <f t="shared" si="14"/>
        <v>1.6528925619834838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1.9597706999999998E-3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11.400000000000034</v>
      </c>
      <c r="F25" s="170">
        <f t="shared" si="13"/>
        <v>1.6528925619834753</v>
      </c>
      <c r="G25" s="176">
        <f>G24-F25</f>
        <v>8.4376949871511897E-15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689.70000000000027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0.29999999999972715</v>
      </c>
      <c r="F27" s="310">
        <f>IF((E27/G6*100)&gt;1,"Fehler zu groß",(E27/G6*100))</f>
        <v>4.3478260869525671E-2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1.3946717700000002E-4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9.7000000000000005E-4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1.4648853499999999E-3</v>
      </c>
      <c r="W36" s="838">
        <v>1.5939999999999999E-3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8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69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895.9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37.5</v>
      </c>
      <c r="F13" s="170">
        <f t="shared" si="13"/>
        <v>4.1866696438539677</v>
      </c>
      <c r="G13" s="182">
        <f t="shared" si="14"/>
        <v>95.813330356146025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109.9</v>
      </c>
      <c r="F14" s="170">
        <f t="shared" si="13"/>
        <v>12.269733169588029</v>
      </c>
      <c r="G14" s="182">
        <f t="shared" si="14"/>
        <v>83.543597186558003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184.5</v>
      </c>
      <c r="F15" s="194">
        <f t="shared" si="13"/>
        <v>20.598414647761519</v>
      </c>
      <c r="G15" s="195">
        <f t="shared" si="14"/>
        <v>62.945182538796487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54.900000000000034</v>
      </c>
      <c r="F16" s="170">
        <f t="shared" si="13"/>
        <v>6.129284358602213</v>
      </c>
      <c r="G16" s="176">
        <f t="shared" si="14"/>
        <v>56.815898180194274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80.200000000000045</v>
      </c>
      <c r="F17" s="170">
        <f t="shared" si="13"/>
        <v>8.9538908116556897</v>
      </c>
      <c r="G17" s="182">
        <f t="shared" si="14"/>
        <v>47.862007368538585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88.900000000000034</v>
      </c>
      <c r="F18" s="170">
        <f t="shared" si="13"/>
        <v>9.9251981690298106</v>
      </c>
      <c r="G18" s="182">
        <f t="shared" si="14"/>
        <v>37.936809199508772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80.100000000000023</v>
      </c>
      <c r="F19" s="170">
        <f t="shared" si="13"/>
        <v>8.9427263592720774</v>
      </c>
      <c r="G19" s="182">
        <f t="shared" si="14"/>
        <v>28.994082840236693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75.600000000000023</v>
      </c>
      <c r="F20" s="170">
        <f t="shared" si="13"/>
        <v>8.440326002009602</v>
      </c>
      <c r="G20" s="182">
        <f t="shared" si="14"/>
        <v>20.553756838227091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8.0500000000000007</v>
      </c>
      <c r="X20" s="530"/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91.699999999999989</v>
      </c>
      <c r="F21" s="170">
        <f t="shared" si="13"/>
        <v>10.237802835770902</v>
      </c>
      <c r="G21" s="182">
        <f t="shared" si="14"/>
        <v>10.31595400245619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0.39</v>
      </c>
      <c r="X21" s="530"/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49.599999999999966</v>
      </c>
      <c r="F22" s="170">
        <f t="shared" si="13"/>
        <v>5.5375683822708437</v>
      </c>
      <c r="G22" s="182">
        <f t="shared" si="14"/>
        <v>4.7783856201853459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20.641025641025642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14</v>
      </c>
      <c r="F23" s="170">
        <f t="shared" si="13"/>
        <v>1.5630233337054811</v>
      </c>
      <c r="G23" s="211">
        <f t="shared" si="14"/>
        <v>3.2153622864798646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16.400000000000034</v>
      </c>
      <c r="F24" s="213">
        <f t="shared" si="13"/>
        <v>1.830970190912139</v>
      </c>
      <c r="G24" s="214">
        <f t="shared" si="14"/>
        <v>1.3843920955677256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1.8172907999999997E-3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12.400000000000034</v>
      </c>
      <c r="F25" s="170">
        <f t="shared" si="13"/>
        <v>1.3843920955677158</v>
      </c>
      <c r="G25" s="176">
        <f>G24-F25</f>
        <v>9.7699626167013776E-15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895.70000000000027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0.19999999999970441</v>
      </c>
      <c r="F27" s="310">
        <f>IF((E27/G6*100)&gt;1,"Fehler zu groß",(E27/G6*100))</f>
        <v>2.2323920080333119E-2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1.29327588E-4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>
        <v>8.9999999999999998E-4</v>
      </c>
      <c r="X29" s="794" t="s">
        <v>113</v>
      </c>
      <c r="Y29" s="795"/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804" t="str">
        <f>IF(W22&gt;20.1,"ungültig","OK")</f>
        <v>ungültig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(W24+W29)/2</f>
        <v>1.3586453999999998E-3</v>
      </c>
      <c r="W36" s="838">
        <v>1.6770000000000001E-3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59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70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1069.5999999999999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/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/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/>
      <c r="E13" s="181">
        <v>21.2</v>
      </c>
      <c r="F13" s="170">
        <f t="shared" si="13"/>
        <v>1.9824200486253971</v>
      </c>
      <c r="G13" s="182">
        <f t="shared" si="14"/>
        <v>98.0175799513746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/>
      <c r="E14" s="181">
        <v>179.5</v>
      </c>
      <c r="F14" s="170">
        <f t="shared" si="13"/>
        <v>16.785113147559379</v>
      </c>
      <c r="G14" s="182">
        <f t="shared" si="14"/>
        <v>81.232466803815214</v>
      </c>
      <c r="U14" s="530"/>
      <c r="V14" s="530"/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/>
      <c r="E15" s="175">
        <v>185.2</v>
      </c>
      <c r="F15" s="194">
        <f t="shared" si="13"/>
        <v>17.318122311576584</v>
      </c>
      <c r="G15" s="195">
        <f t="shared" si="14"/>
        <v>63.914344492238627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/>
      <c r="E16" s="776">
        <v>90.500000000000057</v>
      </c>
      <c r="F16" s="170">
        <f t="shared" si="13"/>
        <v>8.4626893585187997</v>
      </c>
      <c r="G16" s="176">
        <f t="shared" si="14"/>
        <v>55.451655133719825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</row>
    <row r="17" spans="1:25" ht="22.5" customHeight="1" thickBot="1" x14ac:dyDescent="0.25">
      <c r="A17" s="877"/>
      <c r="B17" s="206">
        <v>4</v>
      </c>
      <c r="C17" s="179">
        <v>519.29999999999995</v>
      </c>
      <c r="D17" s="207"/>
      <c r="E17" s="208">
        <v>94.700000000000045</v>
      </c>
      <c r="F17" s="170">
        <f t="shared" si="13"/>
        <v>8.8554329530577931</v>
      </c>
      <c r="G17" s="182">
        <f t="shared" si="14"/>
        <v>46.596222180662032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</row>
    <row r="18" spans="1:25" ht="21.95" customHeight="1" x14ac:dyDescent="0.2">
      <c r="A18" s="877"/>
      <c r="B18" s="206">
        <v>2</v>
      </c>
      <c r="C18" s="179">
        <v>506.2</v>
      </c>
      <c r="D18" s="207"/>
      <c r="E18" s="209">
        <v>115.5</v>
      </c>
      <c r="F18" s="170">
        <f t="shared" si="13"/>
        <v>10.800448849822329</v>
      </c>
      <c r="G18" s="182">
        <f t="shared" si="14"/>
        <v>35.795773330839701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</row>
    <row r="19" spans="1:25" ht="21.95" customHeight="1" x14ac:dyDescent="0.2">
      <c r="A19" s="877"/>
      <c r="B19" s="206">
        <v>1</v>
      </c>
      <c r="C19" s="179">
        <v>383.8</v>
      </c>
      <c r="D19" s="207"/>
      <c r="E19" s="208">
        <v>131.80000000000001</v>
      </c>
      <c r="F19" s="170">
        <f t="shared" si="13"/>
        <v>12.324668038152236</v>
      </c>
      <c r="G19" s="182">
        <f t="shared" si="14"/>
        <v>23.471105292687465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</row>
    <row r="20" spans="1:25" ht="21.95" customHeight="1" x14ac:dyDescent="0.2">
      <c r="A20" s="877"/>
      <c r="B20" s="178">
        <v>0.6</v>
      </c>
      <c r="C20" s="179">
        <v>376.2</v>
      </c>
      <c r="D20" s="207"/>
      <c r="E20" s="209">
        <v>90.200000000000045</v>
      </c>
      <c r="F20" s="170">
        <f t="shared" si="13"/>
        <v>8.4346362446231566</v>
      </c>
      <c r="G20" s="182">
        <f t="shared" si="14"/>
        <v>15.036469048064308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8.3024000000000004</v>
      </c>
      <c r="X20" s="530" t="s">
        <v>341</v>
      </c>
      <c r="Y20" s="530"/>
    </row>
    <row r="21" spans="1:25" ht="21.95" customHeight="1" thickBot="1" x14ac:dyDescent="0.25">
      <c r="A21" s="877"/>
      <c r="B21" s="210">
        <v>0.4</v>
      </c>
      <c r="C21" s="179">
        <v>330.8</v>
      </c>
      <c r="D21" s="207"/>
      <c r="E21" s="208">
        <v>63.5</v>
      </c>
      <c r="F21" s="170">
        <f t="shared" si="13"/>
        <v>5.9379091079109774</v>
      </c>
      <c r="G21" s="182">
        <f t="shared" si="14"/>
        <v>9.098559940153331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0.43509999999999999</v>
      </c>
      <c r="X21" s="530" t="s">
        <v>341</v>
      </c>
      <c r="Y21" s="530"/>
    </row>
    <row r="22" spans="1:25" ht="21.95" customHeight="1" thickBot="1" x14ac:dyDescent="0.3">
      <c r="A22" s="877"/>
      <c r="B22" s="210">
        <v>0.2</v>
      </c>
      <c r="C22" s="179">
        <v>326.10000000000002</v>
      </c>
      <c r="D22" s="207"/>
      <c r="E22" s="209">
        <v>63.099999999999966</v>
      </c>
      <c r="F22" s="170">
        <f t="shared" si="13"/>
        <v>5.9005049560501179</v>
      </c>
      <c r="G22" s="182">
        <f t="shared" si="14"/>
        <v>3.1980549841032131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19.081590438979546</v>
      </c>
      <c r="X22" s="530"/>
      <c r="Y22" s="530"/>
    </row>
    <row r="23" spans="1:25" ht="21.95" customHeight="1" thickBot="1" x14ac:dyDescent="0.25">
      <c r="A23" s="877"/>
      <c r="B23" s="210">
        <v>0.1</v>
      </c>
      <c r="C23" s="179">
        <v>304.39999999999998</v>
      </c>
      <c r="D23" s="207"/>
      <c r="E23" s="208">
        <v>15.300000000000011</v>
      </c>
      <c r="F23" s="170">
        <f t="shared" si="13"/>
        <v>1.4307088086777642</v>
      </c>
      <c r="G23" s="211">
        <f t="shared" si="14"/>
        <v>1.7673461754254489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</row>
    <row r="24" spans="1:25" ht="21.95" customHeight="1" thickBot="1" x14ac:dyDescent="0.3">
      <c r="A24" s="879"/>
      <c r="B24" s="212">
        <v>6.3E-2</v>
      </c>
      <c r="C24" s="179">
        <v>313.7</v>
      </c>
      <c r="D24" s="207"/>
      <c r="E24" s="209">
        <v>7.3000000000000114</v>
      </c>
      <c r="F24" s="213">
        <f t="shared" si="13"/>
        <v>0.68262577146063308</v>
      </c>
      <c r="G24" s="214">
        <f t="shared" si="14"/>
        <v>1.0847204039648157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2.2618998954799991E-3</v>
      </c>
      <c r="X24" s="530"/>
      <c r="Y24" s="530"/>
    </row>
    <row r="25" spans="1:25" ht="21.95" customHeight="1" thickBot="1" x14ac:dyDescent="0.3">
      <c r="A25" s="734"/>
      <c r="B25" s="191" t="s">
        <v>14</v>
      </c>
      <c r="C25" s="216">
        <v>367.5</v>
      </c>
      <c r="D25" s="217"/>
      <c r="E25" s="218">
        <v>11.600000000000023</v>
      </c>
      <c r="F25" s="170">
        <f t="shared" si="13"/>
        <v>1.0847204039648422</v>
      </c>
      <c r="G25" s="176">
        <f>G24-F25</f>
        <v>-2.6423307986078726E-14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</row>
    <row r="26" spans="1:25" ht="21.95" customHeight="1" x14ac:dyDescent="0.2">
      <c r="A26" s="880" t="s">
        <v>40</v>
      </c>
      <c r="B26" s="881"/>
      <c r="C26" s="304"/>
      <c r="D26" s="735" t="s">
        <v>19</v>
      </c>
      <c r="E26" s="221">
        <f>SUM(E12:E25)</f>
        <v>1069.4000000000001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</row>
    <row r="27" spans="1:25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0.1999999999998181</v>
      </c>
      <c r="F27" s="310">
        <f>IF((E27/G6*100)&gt;1,"Fehler zu groß",(E27/G6*100))</f>
        <v>1.8698578907985989E-2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1.6096821586279999E-4</v>
      </c>
      <c r="X27" s="792" t="str">
        <f>IF(W22&lt;5.000001,"OK","U größer 5")</f>
        <v>U größer 5</v>
      </c>
      <c r="Y27" s="530"/>
    </row>
    <row r="28" spans="1:25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</row>
    <row r="29" spans="1:25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1.1000000000000001E-3</v>
      </c>
    </row>
    <row r="30" spans="1:25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</row>
    <row r="31" spans="1:25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</row>
    <row r="32" spans="1:25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</row>
    <row r="33" spans="1:25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</row>
    <row r="34" spans="1:25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</row>
    <row r="35" spans="1:25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333</v>
      </c>
      <c r="X35" s="530"/>
      <c r="Y35" s="530"/>
    </row>
    <row r="36" spans="1:25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1.6809499477399995E-3</v>
      </c>
      <c r="W36" s="838">
        <v>1.792E-3</v>
      </c>
      <c r="X36" s="530"/>
      <c r="Y36" s="530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0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.7109375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42578125" style="116" customWidth="1"/>
    <col min="16" max="16" width="12.85546875" style="116" customWidth="1"/>
    <col min="17" max="17" width="15.28515625" style="116" customWidth="1"/>
    <col min="18" max="18" width="11.7109375" style="116" customWidth="1"/>
    <col min="19" max="19" width="20.5703125" style="116" customWidth="1"/>
    <col min="20" max="20" width="5" style="116" customWidth="1"/>
    <col min="21" max="21" width="12.140625" style="116" customWidth="1"/>
    <col min="22" max="22" width="11.42578125" style="116"/>
    <col min="23" max="23" width="15.5703125" style="116" customWidth="1"/>
    <col min="24" max="24" width="11.42578125" style="116"/>
    <col min="25" max="25" width="18.28515625" style="116" customWidth="1"/>
    <col min="26" max="26" width="14.140625" style="116" customWidth="1"/>
    <col min="27" max="27" width="3.140625" style="116" customWidth="1"/>
    <col min="28" max="28" width="15.85546875" style="116" customWidth="1"/>
    <col min="29" max="29" width="14" style="116" customWidth="1"/>
    <col min="30" max="16384" width="11.42578125" style="116"/>
  </cols>
  <sheetData>
    <row r="1" spans="1:31" ht="20.25" customHeight="1" x14ac:dyDescent="0.3">
      <c r="A1" s="884" t="s">
        <v>2</v>
      </c>
      <c r="B1" s="884"/>
      <c r="C1" s="884"/>
      <c r="D1" s="884"/>
      <c r="E1" s="884"/>
      <c r="F1" s="884"/>
      <c r="G1" s="884"/>
      <c r="H1" s="115"/>
      <c r="I1" s="902" t="s">
        <v>70</v>
      </c>
      <c r="J1" s="903"/>
      <c r="K1" s="894" t="s">
        <v>30</v>
      </c>
      <c r="L1" s="894" t="s">
        <v>74</v>
      </c>
      <c r="M1" s="894" t="s">
        <v>29</v>
      </c>
      <c r="N1" s="894" t="s">
        <v>32</v>
      </c>
      <c r="O1" s="891" t="s">
        <v>75</v>
      </c>
      <c r="P1" s="891" t="s">
        <v>76</v>
      </c>
      <c r="Q1" s="894" t="s">
        <v>77</v>
      </c>
      <c r="R1" s="894" t="s">
        <v>39</v>
      </c>
      <c r="S1" s="897" t="s">
        <v>31</v>
      </c>
      <c r="U1" s="739" t="s">
        <v>49</v>
      </c>
      <c r="V1" s="740" t="s">
        <v>48</v>
      </c>
      <c r="W1" s="741" t="s">
        <v>65</v>
      </c>
      <c r="X1" s="900" t="s">
        <v>63</v>
      </c>
      <c r="Y1" s="742" t="s">
        <v>52</v>
      </c>
      <c r="Z1" s="874" t="s">
        <v>62</v>
      </c>
      <c r="AA1" s="743"/>
      <c r="AB1" s="874" t="s">
        <v>66</v>
      </c>
      <c r="AC1" s="874" t="s">
        <v>60</v>
      </c>
      <c r="AD1" s="874" t="s">
        <v>68</v>
      </c>
      <c r="AE1" s="885" t="s">
        <v>69</v>
      </c>
    </row>
    <row r="2" spans="1:31" ht="18.75" customHeight="1" x14ac:dyDescent="0.35">
      <c r="B2" s="115"/>
      <c r="C2" s="115"/>
      <c r="D2" s="115"/>
      <c r="E2" s="115"/>
      <c r="F2" s="294"/>
      <c r="G2" s="115"/>
      <c r="H2" s="115"/>
      <c r="I2" s="904"/>
      <c r="J2" s="905"/>
      <c r="K2" s="895"/>
      <c r="L2" s="896"/>
      <c r="M2" s="895"/>
      <c r="N2" s="895"/>
      <c r="O2" s="892"/>
      <c r="P2" s="892"/>
      <c r="Q2" s="895"/>
      <c r="R2" s="895"/>
      <c r="S2" s="898"/>
      <c r="U2" s="744" t="s">
        <v>53</v>
      </c>
      <c r="V2" s="745" t="s">
        <v>47</v>
      </c>
      <c r="W2" s="746" t="s">
        <v>50</v>
      </c>
      <c r="X2" s="901"/>
      <c r="Y2" s="747" t="s">
        <v>67</v>
      </c>
      <c r="Z2" s="875"/>
      <c r="AA2" s="748"/>
      <c r="AB2" s="875"/>
      <c r="AC2" s="875"/>
      <c r="AD2" s="875"/>
      <c r="AE2" s="886"/>
    </row>
    <row r="3" spans="1:31" ht="20.100000000000001" customHeight="1" x14ac:dyDescent="0.35">
      <c r="A3" s="117" t="s">
        <v>23</v>
      </c>
      <c r="B3" s="118"/>
      <c r="C3" s="119">
        <v>71</v>
      </c>
      <c r="D3" s="118" t="s">
        <v>25</v>
      </c>
      <c r="E3" s="121"/>
      <c r="F3" s="295" t="s">
        <v>42</v>
      </c>
      <c r="G3" s="122"/>
      <c r="H3" s="115"/>
      <c r="I3" s="749" t="s">
        <v>72</v>
      </c>
      <c r="J3" s="750" t="s">
        <v>71</v>
      </c>
      <c r="K3" s="896"/>
      <c r="L3" s="751" t="s">
        <v>79</v>
      </c>
      <c r="M3" s="896"/>
      <c r="N3" s="896"/>
      <c r="O3" s="893"/>
      <c r="P3" s="893"/>
      <c r="Q3" s="752" t="s">
        <v>78</v>
      </c>
      <c r="R3" s="896"/>
      <c r="S3" s="899"/>
      <c r="U3" s="753" t="s">
        <v>61</v>
      </c>
      <c r="V3" s="754" t="s">
        <v>57</v>
      </c>
      <c r="W3" s="755" t="s">
        <v>53</v>
      </c>
      <c r="X3" s="756" t="s">
        <v>64</v>
      </c>
      <c r="Y3" s="755" t="s">
        <v>54</v>
      </c>
      <c r="Z3" s="755" t="s">
        <v>73</v>
      </c>
      <c r="AA3" s="247"/>
      <c r="AB3" s="757" t="s">
        <v>51</v>
      </c>
      <c r="AC3" s="757" t="s">
        <v>47</v>
      </c>
      <c r="AD3" s="746" t="s">
        <v>55</v>
      </c>
      <c r="AE3" s="746" t="s">
        <v>56</v>
      </c>
    </row>
    <row r="4" spans="1:31" ht="20.100000000000001" customHeight="1" x14ac:dyDescent="0.25">
      <c r="A4" s="127" t="s">
        <v>26</v>
      </c>
      <c r="B4" s="127"/>
      <c r="C4" s="128"/>
      <c r="D4" s="130" t="s">
        <v>24</v>
      </c>
      <c r="E4" s="780" t="s">
        <v>187</v>
      </c>
      <c r="F4" s="296"/>
      <c r="G4" s="297"/>
      <c r="H4" s="115"/>
      <c r="I4" s="758">
        <f>J4*60</f>
        <v>30</v>
      </c>
      <c r="J4" s="133">
        <v>0.5</v>
      </c>
      <c r="K4" s="134"/>
      <c r="L4" s="135"/>
      <c r="M4" s="133">
        <f t="shared" ref="M4:M10" si="0">(L4-1)*1000</f>
        <v>-1000</v>
      </c>
      <c r="N4" s="133">
        <f>M4+$G$33</f>
        <v>0</v>
      </c>
      <c r="O4" s="759"/>
      <c r="P4" s="760">
        <f t="shared" ref="P4:P10" si="1">N4+O4</f>
        <v>0</v>
      </c>
      <c r="Q4" s="761" t="e">
        <f>((18.35*V4/($F$34-W4))*Z4)^0.5</f>
        <v>#DIV/0!</v>
      </c>
      <c r="R4" s="133" t="e">
        <f t="shared" ref="R4:R10" si="2">$F$36*P4</f>
        <v>#DIV/0!</v>
      </c>
      <c r="S4" s="138" t="e">
        <f t="shared" ref="S4:S10" si="3">$G$24/100*R4</f>
        <v>#DIV/0!</v>
      </c>
      <c r="U4" s="762">
        <f>1+0.001*N4</f>
        <v>1</v>
      </c>
      <c r="V4" s="763">
        <f>0.00178/(1+0.0337*K4+0.00022*K4^2)</f>
        <v>1.7799999999999999E-3</v>
      </c>
      <c r="W4" s="762">
        <f>1/(1+((2.31*K4-2)^2-182)*0.00001)</f>
        <v>1.0017831740498087</v>
      </c>
      <c r="X4" s="764">
        <f>4142.8*(1.03-U4)/10</f>
        <v>12.428400000000012</v>
      </c>
      <c r="Y4" s="765" t="e">
        <f t="shared" ref="Y4:Y12" si="4">X4+$AB$5+0.5*($AC$5-$AD$5/$AE$5)</f>
        <v>#DIV/0!</v>
      </c>
      <c r="Z4" s="766" t="e">
        <f t="shared" ref="Z4:Z12" si="5">Y4/I4</f>
        <v>#DIV/0!</v>
      </c>
      <c r="AA4" s="247"/>
      <c r="AB4" s="767" t="s">
        <v>54</v>
      </c>
      <c r="AC4" s="767" t="s">
        <v>54</v>
      </c>
      <c r="AD4" s="755" t="s">
        <v>58</v>
      </c>
      <c r="AE4" s="755" t="s">
        <v>59</v>
      </c>
    </row>
    <row r="5" spans="1:31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758">
        <f>J5*60</f>
        <v>60</v>
      </c>
      <c r="J5" s="142">
        <v>1</v>
      </c>
      <c r="K5" s="134"/>
      <c r="L5" s="135"/>
      <c r="M5" s="133">
        <f t="shared" si="0"/>
        <v>-1000</v>
      </c>
      <c r="N5" s="133">
        <f t="shared" ref="N5:N12" si="6">M5+$G$33</f>
        <v>0</v>
      </c>
      <c r="O5" s="759"/>
      <c r="P5" s="760">
        <f t="shared" si="1"/>
        <v>0</v>
      </c>
      <c r="Q5" s="761" t="e">
        <f t="shared" ref="Q5:Q12" si="7">((18.35*V5/($F$34-W5))*Z5)^0.5</f>
        <v>#DIV/0!</v>
      </c>
      <c r="R5" s="133" t="e">
        <f t="shared" si="2"/>
        <v>#DIV/0!</v>
      </c>
      <c r="S5" s="138" t="e">
        <f t="shared" si="3"/>
        <v>#DIV/0!</v>
      </c>
      <c r="U5" s="762">
        <f t="shared" ref="U5:U12" si="8">1+0.001*N5</f>
        <v>1</v>
      </c>
      <c r="V5" s="763">
        <f t="shared" ref="V5:V12" si="9">0.00178/(1+0.0337*K5+0.00022*K5^2)</f>
        <v>1.7799999999999999E-3</v>
      </c>
      <c r="W5" s="762">
        <f t="shared" ref="W5:W12" si="10">1/(1+((2.31*K5-2)^2-182)*0.00001)</f>
        <v>1.0017831740498087</v>
      </c>
      <c r="X5" s="764">
        <f t="shared" ref="X5:X12" si="11">4142.8*(1.03-U5)/10</f>
        <v>12.428400000000012</v>
      </c>
      <c r="Y5" s="765" t="e">
        <f t="shared" si="4"/>
        <v>#DIV/0!</v>
      </c>
      <c r="Z5" s="766" t="e">
        <f t="shared" si="5"/>
        <v>#DIV/0!</v>
      </c>
      <c r="AA5" s="243"/>
      <c r="AB5" s="768">
        <v>1.1100000000000001</v>
      </c>
      <c r="AC5" s="769">
        <v>16.7</v>
      </c>
      <c r="AD5" s="769">
        <v>60</v>
      </c>
      <c r="AE5" s="770">
        <f>PI()/4*$F$32^2</f>
        <v>0</v>
      </c>
    </row>
    <row r="6" spans="1:31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435">
        <v>1076.4000000000001</v>
      </c>
      <c r="I6" s="758">
        <f t="shared" ref="I6:I12" si="12">J6*60</f>
        <v>120</v>
      </c>
      <c r="J6" s="142">
        <v>2</v>
      </c>
      <c r="K6" s="134"/>
      <c r="L6" s="135"/>
      <c r="M6" s="133">
        <f t="shared" si="0"/>
        <v>-1000</v>
      </c>
      <c r="N6" s="133">
        <f t="shared" si="6"/>
        <v>0</v>
      </c>
      <c r="O6" s="759"/>
      <c r="P6" s="760">
        <f t="shared" si="1"/>
        <v>0</v>
      </c>
      <c r="Q6" s="761" t="e">
        <f t="shared" si="7"/>
        <v>#DIV/0!</v>
      </c>
      <c r="R6" s="133" t="e">
        <f t="shared" si="2"/>
        <v>#DIV/0!</v>
      </c>
      <c r="S6" s="138" t="e">
        <f t="shared" si="3"/>
        <v>#DIV/0!</v>
      </c>
      <c r="U6" s="762">
        <f t="shared" si="8"/>
        <v>1</v>
      </c>
      <c r="V6" s="763">
        <f t="shared" si="9"/>
        <v>1.7799999999999999E-3</v>
      </c>
      <c r="W6" s="762">
        <f t="shared" si="10"/>
        <v>1.0017831740498087</v>
      </c>
      <c r="X6" s="764">
        <f t="shared" si="11"/>
        <v>12.428400000000012</v>
      </c>
      <c r="Y6" s="765" t="e">
        <f t="shared" si="4"/>
        <v>#DIV/0!</v>
      </c>
      <c r="Z6" s="766" t="e">
        <f t="shared" si="5"/>
        <v>#DIV/0!</v>
      </c>
      <c r="AA6" s="243"/>
    </row>
    <row r="7" spans="1:31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758">
        <f t="shared" si="12"/>
        <v>300</v>
      </c>
      <c r="J7" s="142">
        <v>5</v>
      </c>
      <c r="K7" s="177"/>
      <c r="L7" s="135"/>
      <c r="M7" s="133">
        <f t="shared" si="0"/>
        <v>-1000</v>
      </c>
      <c r="N7" s="133">
        <f t="shared" si="6"/>
        <v>0</v>
      </c>
      <c r="O7" s="759"/>
      <c r="P7" s="760">
        <f t="shared" si="1"/>
        <v>0</v>
      </c>
      <c r="Q7" s="761" t="e">
        <f t="shared" si="7"/>
        <v>#DIV/0!</v>
      </c>
      <c r="R7" s="133" t="e">
        <f t="shared" si="2"/>
        <v>#DIV/0!</v>
      </c>
      <c r="S7" s="138" t="e">
        <f t="shared" si="3"/>
        <v>#DIV/0!</v>
      </c>
      <c r="U7" s="762">
        <f t="shared" si="8"/>
        <v>1</v>
      </c>
      <c r="V7" s="763">
        <f t="shared" si="9"/>
        <v>1.7799999999999999E-3</v>
      </c>
      <c r="W7" s="762">
        <f t="shared" si="10"/>
        <v>1.0017831740498087</v>
      </c>
      <c r="X7" s="764">
        <f t="shared" si="11"/>
        <v>12.428400000000012</v>
      </c>
      <c r="Y7" s="765" t="e">
        <f t="shared" si="4"/>
        <v>#DIV/0!</v>
      </c>
      <c r="Z7" s="766" t="e">
        <f t="shared" si="5"/>
        <v>#DIV/0!</v>
      </c>
      <c r="AA7" s="243"/>
    </row>
    <row r="8" spans="1:31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758">
        <f t="shared" si="12"/>
        <v>900</v>
      </c>
      <c r="J8" s="142">
        <v>15</v>
      </c>
      <c r="K8" s="177"/>
      <c r="L8" s="135"/>
      <c r="M8" s="133">
        <f t="shared" si="0"/>
        <v>-1000</v>
      </c>
      <c r="N8" s="133">
        <f t="shared" si="6"/>
        <v>0</v>
      </c>
      <c r="O8" s="759"/>
      <c r="P8" s="760">
        <f t="shared" si="1"/>
        <v>0</v>
      </c>
      <c r="Q8" s="761" t="e">
        <f t="shared" si="7"/>
        <v>#DIV/0!</v>
      </c>
      <c r="R8" s="133" t="e">
        <f t="shared" si="2"/>
        <v>#DIV/0!</v>
      </c>
      <c r="S8" s="138" t="e">
        <f t="shared" si="3"/>
        <v>#DIV/0!</v>
      </c>
      <c r="U8" s="762">
        <f t="shared" si="8"/>
        <v>1</v>
      </c>
      <c r="V8" s="763">
        <f t="shared" si="9"/>
        <v>1.7799999999999999E-3</v>
      </c>
      <c r="W8" s="762">
        <f t="shared" si="10"/>
        <v>1.0017831740498087</v>
      </c>
      <c r="X8" s="764">
        <f t="shared" si="11"/>
        <v>12.428400000000012</v>
      </c>
      <c r="Y8" s="765" t="e">
        <f t="shared" si="4"/>
        <v>#DIV/0!</v>
      </c>
      <c r="Z8" s="766" t="e">
        <f t="shared" si="5"/>
        <v>#DIV/0!</v>
      </c>
      <c r="AA8" s="243"/>
    </row>
    <row r="9" spans="1:31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758">
        <f t="shared" si="12"/>
        <v>2700</v>
      </c>
      <c r="J9" s="142">
        <v>45</v>
      </c>
      <c r="K9" s="177"/>
      <c r="L9" s="135"/>
      <c r="M9" s="133">
        <f t="shared" si="0"/>
        <v>-1000</v>
      </c>
      <c r="N9" s="133">
        <f t="shared" si="6"/>
        <v>0</v>
      </c>
      <c r="O9" s="759"/>
      <c r="P9" s="760">
        <f t="shared" si="1"/>
        <v>0</v>
      </c>
      <c r="Q9" s="761" t="e">
        <f t="shared" si="7"/>
        <v>#DIV/0!</v>
      </c>
      <c r="R9" s="133" t="e">
        <f t="shared" si="2"/>
        <v>#DIV/0!</v>
      </c>
      <c r="S9" s="138" t="e">
        <f t="shared" si="3"/>
        <v>#DIV/0!</v>
      </c>
      <c r="U9" s="762">
        <f t="shared" si="8"/>
        <v>1</v>
      </c>
      <c r="V9" s="763">
        <f t="shared" si="9"/>
        <v>1.7799999999999999E-3</v>
      </c>
      <c r="W9" s="762">
        <f t="shared" si="10"/>
        <v>1.0017831740498087</v>
      </c>
      <c r="X9" s="764">
        <f t="shared" si="11"/>
        <v>12.428400000000012</v>
      </c>
      <c r="Y9" s="765" t="e">
        <f t="shared" si="4"/>
        <v>#DIV/0!</v>
      </c>
      <c r="Z9" s="766" t="e">
        <f t="shared" si="5"/>
        <v>#DIV/0!</v>
      </c>
      <c r="AA9" s="243"/>
    </row>
    <row r="10" spans="1:31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758">
        <f t="shared" si="12"/>
        <v>7200</v>
      </c>
      <c r="J10" s="142">
        <v>120</v>
      </c>
      <c r="K10" s="177"/>
      <c r="L10" s="135"/>
      <c r="M10" s="133">
        <f t="shared" si="0"/>
        <v>-1000</v>
      </c>
      <c r="N10" s="133">
        <f t="shared" si="6"/>
        <v>0</v>
      </c>
      <c r="O10" s="771"/>
      <c r="P10" s="760">
        <f t="shared" si="1"/>
        <v>0</v>
      </c>
      <c r="Q10" s="761" t="e">
        <f t="shared" si="7"/>
        <v>#DIV/0!</v>
      </c>
      <c r="R10" s="133" t="e">
        <f t="shared" si="2"/>
        <v>#DIV/0!</v>
      </c>
      <c r="S10" s="138" t="e">
        <f t="shared" si="3"/>
        <v>#DIV/0!</v>
      </c>
      <c r="U10" s="762">
        <f t="shared" si="8"/>
        <v>1</v>
      </c>
      <c r="V10" s="763">
        <f t="shared" si="9"/>
        <v>1.7799999999999999E-3</v>
      </c>
      <c r="W10" s="762">
        <f t="shared" si="10"/>
        <v>1.0017831740498087</v>
      </c>
      <c r="X10" s="764">
        <f t="shared" si="11"/>
        <v>12.428400000000012</v>
      </c>
      <c r="Y10" s="765" t="e">
        <f t="shared" si="4"/>
        <v>#DIV/0!</v>
      </c>
      <c r="Z10" s="766" t="e">
        <f t="shared" si="5"/>
        <v>#DIV/0!</v>
      </c>
      <c r="AA10" s="243"/>
    </row>
    <row r="11" spans="1:31" ht="18.75" customHeight="1" x14ac:dyDescent="0.2">
      <c r="A11" s="876" t="s">
        <v>12</v>
      </c>
      <c r="C11" s="167" t="s">
        <v>21</v>
      </c>
      <c r="D11" s="168">
        <v>0</v>
      </c>
      <c r="E11" s="169"/>
      <c r="F11" s="170">
        <f>E11/$E$26*100</f>
        <v>0</v>
      </c>
      <c r="G11" s="303">
        <v>100</v>
      </c>
      <c r="I11" s="758">
        <f t="shared" si="12"/>
        <v>21600</v>
      </c>
      <c r="J11" s="142">
        <v>360</v>
      </c>
      <c r="K11" s="177"/>
      <c r="L11" s="135"/>
      <c r="M11" s="133">
        <f>(L11-1)*1000</f>
        <v>-1000</v>
      </c>
      <c r="N11" s="133">
        <f t="shared" si="6"/>
        <v>0</v>
      </c>
      <c r="O11" s="771"/>
      <c r="P11" s="760">
        <f>N11+O11</f>
        <v>0</v>
      </c>
      <c r="Q11" s="761" t="e">
        <f t="shared" si="7"/>
        <v>#DIV/0!</v>
      </c>
      <c r="R11" s="133" t="e">
        <f>$F$36*P11</f>
        <v>#DIV/0!</v>
      </c>
      <c r="S11" s="138" t="e">
        <f>$G$24/100*R11</f>
        <v>#DIV/0!</v>
      </c>
      <c r="U11" s="762">
        <f t="shared" si="8"/>
        <v>1</v>
      </c>
      <c r="V11" s="763">
        <f t="shared" si="9"/>
        <v>1.7799999999999999E-3</v>
      </c>
      <c r="W11" s="762">
        <f t="shared" si="10"/>
        <v>1.0017831740498087</v>
      </c>
      <c r="X11" s="764">
        <f t="shared" si="11"/>
        <v>12.428400000000012</v>
      </c>
      <c r="Y11" s="765" t="e">
        <f t="shared" si="4"/>
        <v>#DIV/0!</v>
      </c>
      <c r="Z11" s="766" t="e">
        <f t="shared" si="5"/>
        <v>#DIV/0!</v>
      </c>
      <c r="AA11" s="243"/>
    </row>
    <row r="12" spans="1:31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v>0</v>
      </c>
      <c r="F12" s="170">
        <f t="shared" ref="F12:F25" si="13">E12/$E$26*100</f>
        <v>0</v>
      </c>
      <c r="G12" s="176">
        <f t="shared" ref="G12:G24" si="14">G11-F12</f>
        <v>100</v>
      </c>
      <c r="I12" s="772">
        <f t="shared" si="12"/>
        <v>86400</v>
      </c>
      <c r="J12" s="184">
        <v>1440</v>
      </c>
      <c r="K12" s="185"/>
      <c r="L12" s="321"/>
      <c r="M12" s="187">
        <f>(L12-1)*1000</f>
        <v>-1000</v>
      </c>
      <c r="N12" s="187">
        <f t="shared" si="6"/>
        <v>0</v>
      </c>
      <c r="O12" s="773"/>
      <c r="P12" s="774">
        <f>N12+O12</f>
        <v>0</v>
      </c>
      <c r="Q12" s="775" t="e">
        <f t="shared" si="7"/>
        <v>#DIV/0!</v>
      </c>
      <c r="R12" s="187" t="e">
        <f>$F$36*P12</f>
        <v>#DIV/0!</v>
      </c>
      <c r="S12" s="190" t="e">
        <f>$G$24/100*R12</f>
        <v>#DIV/0!</v>
      </c>
      <c r="U12" s="762">
        <f t="shared" si="8"/>
        <v>1</v>
      </c>
      <c r="V12" s="763">
        <f t="shared" si="9"/>
        <v>1.7799999999999999E-3</v>
      </c>
      <c r="W12" s="762">
        <f t="shared" si="10"/>
        <v>1.0017831740498087</v>
      </c>
      <c r="X12" s="764">
        <f t="shared" si="11"/>
        <v>12.428400000000012</v>
      </c>
      <c r="Y12" s="765" t="e">
        <f t="shared" si="4"/>
        <v>#DIV/0!</v>
      </c>
      <c r="Z12" s="766" t="e">
        <f t="shared" si="5"/>
        <v>#DIV/0!</v>
      </c>
      <c r="AA12" s="243"/>
    </row>
    <row r="13" spans="1:31" ht="19.5" customHeight="1" x14ac:dyDescent="0.2">
      <c r="A13" s="877"/>
      <c r="B13" s="116">
        <v>30</v>
      </c>
      <c r="C13" s="179" t="s">
        <v>21</v>
      </c>
      <c r="D13" s="180">
        <v>23.3</v>
      </c>
      <c r="E13" s="181">
        <v>23.4</v>
      </c>
      <c r="F13" s="170">
        <f t="shared" si="13"/>
        <v>2.167469433123379</v>
      </c>
      <c r="G13" s="182">
        <f t="shared" si="14"/>
        <v>97.832530566876628</v>
      </c>
      <c r="AA13" s="243"/>
    </row>
    <row r="14" spans="1:31" ht="19.5" customHeight="1" thickBot="1" x14ac:dyDescent="0.25">
      <c r="A14" s="877"/>
      <c r="B14" s="178">
        <v>20</v>
      </c>
      <c r="C14" s="179" t="s">
        <v>21</v>
      </c>
      <c r="D14" s="180">
        <v>209.2</v>
      </c>
      <c r="E14" s="181">
        <v>194.7</v>
      </c>
      <c r="F14" s="170">
        <f t="shared" si="13"/>
        <v>18.034457206372732</v>
      </c>
      <c r="G14" s="182">
        <f t="shared" si="14"/>
        <v>79.798073360503892</v>
      </c>
      <c r="U14" s="530" t="s">
        <v>322</v>
      </c>
      <c r="V14" s="147">
        <v>1083.2</v>
      </c>
      <c r="W14" s="530"/>
      <c r="X14" s="530"/>
      <c r="Y14" s="530"/>
    </row>
    <row r="15" spans="1:31" ht="19.5" customHeight="1" thickBot="1" x14ac:dyDescent="0.25">
      <c r="A15" s="878"/>
      <c r="B15" s="178">
        <v>10</v>
      </c>
      <c r="C15" s="192" t="s">
        <v>21</v>
      </c>
      <c r="D15" s="193">
        <v>180.7</v>
      </c>
      <c r="E15" s="175">
        <v>202</v>
      </c>
      <c r="F15" s="194">
        <f t="shared" si="13"/>
        <v>18.710633567988143</v>
      </c>
      <c r="G15" s="195">
        <f t="shared" si="14"/>
        <v>61.087439792515752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U15" s="530"/>
      <c r="V15" s="532" t="s">
        <v>122</v>
      </c>
      <c r="W15" s="533"/>
      <c r="X15" s="530"/>
      <c r="Y15" s="530"/>
      <c r="Z15" s="530"/>
    </row>
    <row r="16" spans="1:31" ht="19.5" customHeight="1" x14ac:dyDescent="0.2">
      <c r="A16" s="876" t="s">
        <v>13</v>
      </c>
      <c r="B16" s="199">
        <v>6.3</v>
      </c>
      <c r="C16" s="200">
        <v>630.4</v>
      </c>
      <c r="D16" s="201">
        <v>672.3</v>
      </c>
      <c r="E16" s="776">
        <v>50.9</v>
      </c>
      <c r="F16" s="170">
        <f t="shared" si="13"/>
        <v>4.7147091515376074</v>
      </c>
      <c r="G16" s="176">
        <f t="shared" si="14"/>
        <v>56.372730640978148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U16" s="530"/>
      <c r="V16" s="534" t="s">
        <v>123</v>
      </c>
      <c r="W16" s="535"/>
      <c r="X16" s="530"/>
      <c r="Y16" s="530"/>
      <c r="Z16" s="530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628.1</v>
      </c>
      <c r="E17" s="208">
        <v>101.3</v>
      </c>
      <c r="F17" s="170">
        <f t="shared" si="13"/>
        <v>9.3831048536495008</v>
      </c>
      <c r="G17" s="182">
        <f t="shared" si="14"/>
        <v>46.989625787328649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U17" s="530"/>
      <c r="V17" s="536" t="s">
        <v>124</v>
      </c>
      <c r="W17" s="537"/>
      <c r="X17" s="530"/>
      <c r="Y17" s="530"/>
      <c r="Z17" s="530"/>
    </row>
    <row r="18" spans="1:26" ht="21.95" customHeight="1" x14ac:dyDescent="0.2">
      <c r="A18" s="877"/>
      <c r="B18" s="206">
        <v>2</v>
      </c>
      <c r="C18" s="179">
        <v>506.2</v>
      </c>
      <c r="D18" s="207">
        <v>625.20000000000005</v>
      </c>
      <c r="E18" s="209">
        <v>133.69999999999999</v>
      </c>
      <c r="F18" s="170">
        <f t="shared" si="13"/>
        <v>12.384216376435717</v>
      </c>
      <c r="G18" s="182">
        <f t="shared" si="14"/>
        <v>34.605409410892932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  <c r="U18" s="530"/>
      <c r="V18" s="530"/>
      <c r="W18" s="530"/>
      <c r="X18" s="530"/>
      <c r="Y18" s="530"/>
      <c r="Z18" s="530"/>
    </row>
    <row r="19" spans="1:26" ht="21.95" customHeight="1" x14ac:dyDescent="0.2">
      <c r="A19" s="877"/>
      <c r="B19" s="206">
        <v>1</v>
      </c>
      <c r="C19" s="179">
        <v>383.8</v>
      </c>
      <c r="D19" s="207">
        <v>531.9</v>
      </c>
      <c r="E19" s="208">
        <v>166.8</v>
      </c>
      <c r="F19" s="170">
        <f t="shared" si="13"/>
        <v>15.450166728417935</v>
      </c>
      <c r="G19" s="182">
        <f t="shared" si="14"/>
        <v>19.155242682474999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U19" s="530"/>
      <c r="V19" s="781" t="s">
        <v>109</v>
      </c>
      <c r="W19" s="782">
        <v>11</v>
      </c>
      <c r="X19" s="530"/>
      <c r="Y19" s="530"/>
      <c r="Z19" s="530"/>
    </row>
    <row r="20" spans="1:26" ht="21.95" customHeight="1" x14ac:dyDescent="0.2">
      <c r="A20" s="877"/>
      <c r="B20" s="178">
        <v>0.6</v>
      </c>
      <c r="C20" s="179">
        <v>376.2</v>
      </c>
      <c r="D20" s="207">
        <v>478.8</v>
      </c>
      <c r="E20" s="209">
        <v>98.1</v>
      </c>
      <c r="F20" s="170">
        <f t="shared" si="13"/>
        <v>9.0866987773249353</v>
      </c>
      <c r="G20" s="182">
        <f t="shared" si="14"/>
        <v>10.068543905150063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U20" s="530"/>
      <c r="V20" s="781" t="s">
        <v>107</v>
      </c>
      <c r="W20" s="782">
        <v>9.1</v>
      </c>
      <c r="X20" s="530"/>
      <c r="Y20" s="530"/>
      <c r="Z20" s="530"/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402.8</v>
      </c>
      <c r="E21" s="208">
        <v>61.4</v>
      </c>
      <c r="F21" s="170">
        <f t="shared" si="13"/>
        <v>5.6872915894775851</v>
      </c>
      <c r="G21" s="182">
        <f t="shared" si="14"/>
        <v>4.3812523156724783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U21" s="530"/>
      <c r="V21" s="781" t="s">
        <v>108</v>
      </c>
      <c r="W21" s="782">
        <v>0.59499999999999997</v>
      </c>
      <c r="X21" s="530"/>
      <c r="Y21" s="530"/>
      <c r="Z21" s="530"/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363.5</v>
      </c>
      <c r="E22" s="209">
        <v>27.6</v>
      </c>
      <c r="F22" s="170">
        <f t="shared" si="13"/>
        <v>2.5565024082993704</v>
      </c>
      <c r="G22" s="182">
        <f t="shared" si="14"/>
        <v>1.8247499073731079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540" t="s">
        <v>119</v>
      </c>
      <c r="V22" s="783" t="s">
        <v>106</v>
      </c>
      <c r="W22" s="784">
        <f>W20/W21</f>
        <v>15.294117647058824</v>
      </c>
      <c r="X22" s="530"/>
      <c r="Y22" s="530"/>
      <c r="Z22" s="530"/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312.60000000000002</v>
      </c>
      <c r="E23" s="208">
        <v>9.5</v>
      </c>
      <c r="F23" s="170">
        <f t="shared" si="13"/>
        <v>0.8799555390885514</v>
      </c>
      <c r="G23" s="211">
        <f t="shared" si="14"/>
        <v>0.94479436828455654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327</v>
      </c>
      <c r="E24" s="209">
        <v>3.9</v>
      </c>
      <c r="F24" s="213">
        <f t="shared" si="13"/>
        <v>0.36124490552056321</v>
      </c>
      <c r="G24" s="214">
        <f t="shared" si="14"/>
        <v>0.58354946276399333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U24" s="530"/>
      <c r="V24" s="540" t="s">
        <v>111</v>
      </c>
      <c r="W24" s="785">
        <f>0.0116*(W21*W21)*(0.7+0.03*W19)</f>
        <v>4.229890699999999E-3</v>
      </c>
      <c r="X24" s="530"/>
      <c r="Y24" s="530"/>
      <c r="Z24" s="530"/>
    </row>
    <row r="25" spans="1:26" ht="21.95" customHeight="1" thickBot="1" x14ac:dyDescent="0.3">
      <c r="A25" s="734"/>
      <c r="B25" s="191" t="s">
        <v>14</v>
      </c>
      <c r="C25" s="216">
        <v>367.5</v>
      </c>
      <c r="D25" s="217">
        <v>380.4</v>
      </c>
      <c r="E25" s="218">
        <v>6.3</v>
      </c>
      <c r="F25" s="170">
        <f t="shared" si="13"/>
        <v>0.58354946276398678</v>
      </c>
      <c r="G25" s="176">
        <f>G24-F25</f>
        <v>6.5503158452884236E-15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U25" s="530"/>
      <c r="V25" s="786"/>
      <c r="W25" s="787"/>
      <c r="X25" s="530"/>
      <c r="Y25" s="530"/>
      <c r="Z25" s="530"/>
    </row>
    <row r="26" spans="1:26" ht="21.95" customHeight="1" x14ac:dyDescent="0.2">
      <c r="A26" s="880" t="s">
        <v>40</v>
      </c>
      <c r="B26" s="881"/>
      <c r="C26" s="304">
        <v>1076.4000000000001</v>
      </c>
      <c r="D26" s="735" t="s">
        <v>19</v>
      </c>
      <c r="E26" s="221">
        <f>SUM(E12:E25)</f>
        <v>1079.5999999999999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U26" s="530"/>
      <c r="V26" s="788" t="s">
        <v>110</v>
      </c>
      <c r="W26" s="789">
        <v>1.16E-3</v>
      </c>
      <c r="X26" s="533"/>
      <c r="Y26" s="530"/>
      <c r="Z26" s="530"/>
    </row>
    <row r="27" spans="1:26" ht="21.95" customHeight="1" thickBot="1" x14ac:dyDescent="0.3">
      <c r="A27" s="882" t="s">
        <v>43</v>
      </c>
      <c r="B27" s="883"/>
      <c r="C27" s="307">
        <f>(G3-V14)/V14</f>
        <v>-1</v>
      </c>
      <c r="D27" s="308" t="s">
        <v>22</v>
      </c>
      <c r="E27" s="309">
        <f>V14-E26</f>
        <v>3.6000000000001364</v>
      </c>
      <c r="F27" s="310">
        <f>IF((E27/V14*100)&gt;1,"Fehler zu groß",(E27/V14*100))</f>
        <v>0.33234859675038186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U27" s="530"/>
      <c r="V27" s="790" t="s">
        <v>112</v>
      </c>
      <c r="W27" s="791">
        <f>W26*(W21*W21)*(0.7+0.003*W19)</f>
        <v>3.0102037699999994E-4</v>
      </c>
      <c r="X27" s="792" t="str">
        <f>IF(W22&lt;5.000001,"OK","U größer 5")</f>
        <v>U größer 5</v>
      </c>
      <c r="Y27" s="530"/>
      <c r="Z27" s="530"/>
    </row>
    <row r="28" spans="1:26" ht="11.2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U29" s="530"/>
      <c r="V29" s="793" t="s">
        <v>120</v>
      </c>
      <c r="W29" s="553"/>
      <c r="X29" s="794" t="s">
        <v>113</v>
      </c>
      <c r="Y29" s="795">
        <v>2.5500000000000002E-3</v>
      </c>
      <c r="Z29" s="530"/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U30" s="530"/>
      <c r="V30" s="796" t="s">
        <v>115</v>
      </c>
      <c r="W30" s="622" t="str">
        <f>IF(W21&lt;0.61,"OK","ungültig")</f>
        <v>OK</v>
      </c>
      <c r="X30" s="531"/>
      <c r="Y30" s="797"/>
      <c r="Z30" s="530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777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U31" s="530"/>
      <c r="V31" s="796" t="s">
        <v>116</v>
      </c>
      <c r="W31" s="531" t="str">
        <f>IF(W21&gt;0.059,"OK","ungültig")</f>
        <v>OK</v>
      </c>
      <c r="X31" s="531"/>
      <c r="Y31" s="797"/>
      <c r="Z31" s="530"/>
    </row>
    <row r="32" spans="1:26" ht="21.95" customHeight="1" x14ac:dyDescent="0.35">
      <c r="A32" s="238" t="s">
        <v>80</v>
      </c>
      <c r="B32" s="239"/>
      <c r="C32" s="239"/>
      <c r="D32" s="239"/>
      <c r="E32" s="240"/>
      <c r="F32" s="778"/>
      <c r="G32" s="317" t="s">
        <v>54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U32" s="530"/>
      <c r="V32" s="796" t="s">
        <v>117</v>
      </c>
      <c r="W32" s="531" t="str">
        <f>IF(W22&gt;0.99,"OK","ungültig")</f>
        <v>OK</v>
      </c>
      <c r="X32" s="531"/>
      <c r="Y32" s="797"/>
      <c r="Z32" s="530"/>
    </row>
    <row r="33" spans="1:26" ht="21.95" customHeight="1" thickBot="1" x14ac:dyDescent="0.3">
      <c r="A33" s="238" t="s">
        <v>45</v>
      </c>
      <c r="B33" s="238" t="s">
        <v>46</v>
      </c>
      <c r="C33" s="239"/>
      <c r="D33" s="239"/>
      <c r="E33" s="240"/>
      <c r="F33" s="778"/>
      <c r="G33" s="326">
        <f>-(F33-1)*1000</f>
        <v>1000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U33" s="530"/>
      <c r="V33" s="798" t="s">
        <v>118</v>
      </c>
      <c r="W33" s="799" t="str">
        <f>IF(W22&gt;20.1,"ungültig","OK")</f>
        <v>OK</v>
      </c>
      <c r="X33" s="559"/>
      <c r="Y33" s="800"/>
      <c r="Z33" s="530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778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  <c r="U34" s="530"/>
      <c r="V34" s="530"/>
      <c r="W34" s="530"/>
      <c r="X34" s="530"/>
      <c r="Y34" s="530"/>
      <c r="Z34" s="530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778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U35" s="530"/>
      <c r="V35" s="786" t="s">
        <v>121</v>
      </c>
      <c r="W35" s="530" t="s">
        <v>332</v>
      </c>
      <c r="X35" s="530"/>
      <c r="Y35" s="530"/>
      <c r="Z35" s="530"/>
    </row>
    <row r="36" spans="1:26" ht="21.75" customHeight="1" x14ac:dyDescent="0.3">
      <c r="A36" s="871" t="s">
        <v>10</v>
      </c>
      <c r="B36" s="872"/>
      <c r="C36" s="872"/>
      <c r="D36" s="872"/>
      <c r="E36" s="873"/>
      <c r="F36" s="779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U36" s="530"/>
      <c r="V36" s="801">
        <f>(W24+Y29)/2</f>
        <v>3.3899453499999996E-3</v>
      </c>
      <c r="W36" s="838">
        <v>4.9630000000000004E-3</v>
      </c>
      <c r="X36" s="530"/>
      <c r="Y36" s="530"/>
      <c r="Z36" s="530"/>
    </row>
  </sheetData>
  <sheetProtection selectLockedCells="1"/>
  <protectedRanges>
    <protectedRange password="C4F2" sqref="E3:E4 C3:C6 D5:D6 V14 F5 G3:G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  <protectedRange password="C4F2" sqref="G6" name="Bereich1_6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1"/>
  <dimension ref="A1:AE36"/>
  <sheetViews>
    <sheetView topLeftCell="A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72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831.6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66.400000000000006</v>
      </c>
      <c r="E13" s="668">
        <f>D13</f>
        <v>66.400000000000006</v>
      </c>
      <c r="F13" s="651">
        <f t="shared" si="13"/>
        <v>7.9922965816080884</v>
      </c>
      <c r="G13" s="669">
        <f t="shared" si="14"/>
        <v>92.007703418391912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113.9</v>
      </c>
      <c r="E14" s="668">
        <f>D14</f>
        <v>113.9</v>
      </c>
      <c r="F14" s="651">
        <f t="shared" si="13"/>
        <v>13.709677419354838</v>
      </c>
      <c r="G14" s="669">
        <f t="shared" si="14"/>
        <v>78.29802599903708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110.7</v>
      </c>
      <c r="E15" s="656">
        <f>D15</f>
        <v>110.7</v>
      </c>
      <c r="F15" s="673">
        <f t="shared" si="13"/>
        <v>13.324506499759265</v>
      </c>
      <c r="G15" s="674">
        <f t="shared" si="14"/>
        <v>64.973519499277813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656.1</v>
      </c>
      <c r="E16" s="678">
        <f>D16-C16</f>
        <v>25.700000000000045</v>
      </c>
      <c r="F16" s="651">
        <f t="shared" si="13"/>
        <v>3.0934039480019306</v>
      </c>
      <c r="G16" s="657">
        <f t="shared" si="14"/>
        <v>61.880115551275885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591.5</v>
      </c>
      <c r="E17" s="681">
        <f t="shared" ref="E17:E24" si="15">D17-C17</f>
        <v>72.200000000000045</v>
      </c>
      <c r="F17" s="651">
        <f t="shared" si="13"/>
        <v>8.690418873375064</v>
      </c>
      <c r="G17" s="669">
        <f t="shared" si="14"/>
        <v>53.18969667790082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614</v>
      </c>
      <c r="E18" s="682">
        <f t="shared" si="15"/>
        <v>107.80000000000001</v>
      </c>
      <c r="F18" s="651">
        <f t="shared" si="13"/>
        <v>12.975445353875781</v>
      </c>
      <c r="G18" s="669">
        <f t="shared" si="14"/>
        <v>40.214251324025042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479.4</v>
      </c>
      <c r="E19" s="681">
        <f t="shared" si="15"/>
        <v>95.599999999999966</v>
      </c>
      <c r="F19" s="651">
        <f t="shared" si="13"/>
        <v>11.506981222917663</v>
      </c>
      <c r="G19" s="669">
        <f t="shared" si="14"/>
        <v>28.70727010110738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510.8</v>
      </c>
      <c r="E20" s="682">
        <f t="shared" si="15"/>
        <v>134.60000000000002</v>
      </c>
      <c r="F20" s="651">
        <f t="shared" si="13"/>
        <v>16.201251805488685</v>
      </c>
      <c r="G20" s="669">
        <f t="shared" si="14"/>
        <v>12.506018295618695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5.7976999999999999</v>
      </c>
      <c r="X20" s="116" t="s">
        <v>341</v>
      </c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376.7</v>
      </c>
      <c r="E21" s="681">
        <f t="shared" si="15"/>
        <v>45.899999999999977</v>
      </c>
      <c r="F21" s="651">
        <f t="shared" si="13"/>
        <v>5.5247953779489611</v>
      </c>
      <c r="G21" s="669">
        <f t="shared" si="14"/>
        <v>6.9812229176697338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0.52549999999999997</v>
      </c>
      <c r="X21" s="116" t="s">
        <v>341</v>
      </c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346.1</v>
      </c>
      <c r="E22" s="682">
        <f t="shared" si="15"/>
        <v>20</v>
      </c>
      <c r="F22" s="651">
        <f t="shared" si="13"/>
        <v>2.4073182474723152</v>
      </c>
      <c r="G22" s="669">
        <f t="shared" si="14"/>
        <v>4.5739046701974182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11.032730732635585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314</v>
      </c>
      <c r="E23" s="681">
        <f t="shared" si="15"/>
        <v>9.6000000000000227</v>
      </c>
      <c r="F23" s="651">
        <f t="shared" si="13"/>
        <v>1.155512758786714</v>
      </c>
      <c r="G23" s="684">
        <f t="shared" si="14"/>
        <v>3.418391911410704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315.60000000000002</v>
      </c>
      <c r="E24" s="682">
        <f t="shared" si="15"/>
        <v>1.9000000000000341</v>
      </c>
      <c r="F24" s="686">
        <f t="shared" si="13"/>
        <v>0.22869523350987406</v>
      </c>
      <c r="G24" s="687">
        <f t="shared" si="14"/>
        <v>3.1896966779008298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3.2994431869999988E-3</v>
      </c>
      <c r="X24" s="116"/>
      <c r="Y24" s="116"/>
      <c r="Z24" s="116"/>
    </row>
    <row r="25" spans="1:26" ht="21.95" customHeight="1" thickBot="1" x14ac:dyDescent="0.3">
      <c r="A25" s="810"/>
      <c r="B25" s="670" t="s">
        <v>14</v>
      </c>
      <c r="C25" s="689">
        <v>367.5</v>
      </c>
      <c r="D25" s="690">
        <v>394</v>
      </c>
      <c r="E25" s="691">
        <f>D25-C25+(G6-C26)</f>
        <v>26.5</v>
      </c>
      <c r="F25" s="651">
        <f t="shared" si="13"/>
        <v>3.1896966779008178</v>
      </c>
      <c r="G25" s="657">
        <f>G24-F25</f>
        <v>1.1990408665951691E-14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831.6</v>
      </c>
      <c r="D26" s="693" t="s">
        <v>19</v>
      </c>
      <c r="E26" s="694">
        <f>SUM(E12:E25)</f>
        <v>830.80000000000018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0.79999999999984084</v>
      </c>
      <c r="F27" s="700">
        <f>IF((E27/G6*100)&gt;1,"Fehler zu groß",(E27/G6*100))</f>
        <v>9.6200096200077051E-2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2.3480503457000001E-4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7">
        <v>1.7600000000000001E-3</v>
      </c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09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09" t="s">
        <v>45</v>
      </c>
      <c r="B33" s="809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09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809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2.5297215934999995E-3</v>
      </c>
      <c r="W36" s="839">
        <v>1.7750000000000001E-3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2"/>
  <dimension ref="A1:Z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73</v>
      </c>
      <c r="D3" s="118" t="s">
        <v>25</v>
      </c>
      <c r="E3" s="121">
        <v>39850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20</v>
      </c>
      <c r="D6" s="302"/>
      <c r="E6" s="127" t="s">
        <v>41</v>
      </c>
      <c r="F6" s="146"/>
      <c r="G6" s="147">
        <v>422.2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0</v>
      </c>
      <c r="E13" s="181">
        <f>D13</f>
        <v>0</v>
      </c>
      <c r="F13" s="170">
        <f t="shared" si="5"/>
        <v>0</v>
      </c>
      <c r="G13" s="182">
        <f t="shared" si="6"/>
        <v>100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64.400000000000006</v>
      </c>
      <c r="E14" s="181">
        <f>D14</f>
        <v>64.400000000000006</v>
      </c>
      <c r="F14" s="170">
        <f t="shared" si="5"/>
        <v>15.264280635221619</v>
      </c>
      <c r="G14" s="182">
        <f t="shared" si="6"/>
        <v>84.735719364778376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64.3</v>
      </c>
      <c r="E15" s="175">
        <f>D15</f>
        <v>64.3</v>
      </c>
      <c r="F15" s="194">
        <f t="shared" si="5"/>
        <v>15.240578336098601</v>
      </c>
      <c r="G15" s="195">
        <f t="shared" si="6"/>
        <v>69.495141028679768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641.5</v>
      </c>
      <c r="E16" s="202">
        <f>D16-C16</f>
        <v>11.100000000000023</v>
      </c>
      <c r="F16" s="170">
        <f t="shared" si="5"/>
        <v>2.630955202654663</v>
      </c>
      <c r="G16" s="176">
        <f t="shared" si="6"/>
        <v>66.864185826025107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554.4</v>
      </c>
      <c r="E17" s="208">
        <f t="shared" ref="E17:E24" si="7">D17-C17</f>
        <v>35.100000000000023</v>
      </c>
      <c r="F17" s="170">
        <f t="shared" si="5"/>
        <v>8.3195069921782459</v>
      </c>
      <c r="G17" s="182">
        <f t="shared" si="6"/>
        <v>58.544678833846859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547.79999999999995</v>
      </c>
      <c r="E18" s="209">
        <f t="shared" si="7"/>
        <v>41.599999999999966</v>
      </c>
      <c r="F18" s="170">
        <f t="shared" si="5"/>
        <v>9.8601564351742041</v>
      </c>
      <c r="G18" s="182">
        <f t="shared" si="6"/>
        <v>48.684522398672655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432.8</v>
      </c>
      <c r="E19" s="208">
        <f t="shared" si="7"/>
        <v>49</v>
      </c>
      <c r="F19" s="170">
        <f t="shared" si="5"/>
        <v>11.614126570277318</v>
      </c>
      <c r="G19" s="182">
        <f t="shared" si="6"/>
        <v>37.070395828395334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460.5</v>
      </c>
      <c r="E20" s="209">
        <f t="shared" si="7"/>
        <v>84.300000000000011</v>
      </c>
      <c r="F20" s="170">
        <f t="shared" si="5"/>
        <v>19.981038160701591</v>
      </c>
      <c r="G20" s="182">
        <f t="shared" si="6"/>
        <v>17.089357667693744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4.3879999999999999</v>
      </c>
      <c r="X20" s="116" t="s">
        <v>341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365.4</v>
      </c>
      <c r="E21" s="208">
        <f t="shared" si="7"/>
        <v>34.599999999999966</v>
      </c>
      <c r="F21" s="170">
        <f t="shared" si="5"/>
        <v>8.2009954965631593</v>
      </c>
      <c r="G21" s="182">
        <f t="shared" si="6"/>
        <v>8.8883621711305842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0.43090000000000001</v>
      </c>
      <c r="X21" s="116" t="s">
        <v>341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339.4</v>
      </c>
      <c r="E22" s="209">
        <f t="shared" si="7"/>
        <v>13.299999999999955</v>
      </c>
      <c r="F22" s="170">
        <f t="shared" si="5"/>
        <v>3.1524057833609751</v>
      </c>
      <c r="G22" s="182">
        <f t="shared" si="6"/>
        <v>5.7359563877696091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10.183337201206776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310.39999999999998</v>
      </c>
      <c r="E23" s="208">
        <f t="shared" si="7"/>
        <v>6</v>
      </c>
      <c r="F23" s="170">
        <f t="shared" si="5"/>
        <v>1.4221379473808959</v>
      </c>
      <c r="G23" s="211">
        <f t="shared" si="6"/>
        <v>4.3138184403887134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315.8</v>
      </c>
      <c r="E24" s="209">
        <f t="shared" si="7"/>
        <v>2.1000000000000227</v>
      </c>
      <c r="F24" s="213">
        <f t="shared" si="5"/>
        <v>0.49774828158331902</v>
      </c>
      <c r="G24" s="214">
        <f t="shared" si="6"/>
        <v>3.8160701588053945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2.2184426298799994E-3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368.1</v>
      </c>
      <c r="E25" s="218">
        <f>D25-C25+(G6-C26)</f>
        <v>16.100000000000023</v>
      </c>
      <c r="F25" s="170">
        <f t="shared" si="5"/>
        <v>3.8160701588054096</v>
      </c>
      <c r="G25" s="176">
        <f>G24-F25</f>
        <v>-1.5099033134902129E-14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406.7</v>
      </c>
      <c r="D26" s="260" t="s">
        <v>19</v>
      </c>
      <c r="E26" s="221">
        <f>SUM(E12:E25)</f>
        <v>421.9</v>
      </c>
      <c r="F26" s="305">
        <f>SUM(F12:F25)</f>
        <v>99.999999999999972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0.30000000000001137</v>
      </c>
      <c r="F27" s="310">
        <f>IF((E27/G6*100)&gt;1,"Fehler zu groß",(E27/G6*100))</f>
        <v>7.1056371387970482E-2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1.5787557744679999E-4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1.2999999999999999E-3</v>
      </c>
      <c r="X29" s="286" t="s">
        <v>113</v>
      </c>
      <c r="Y29" s="287">
        <v>1.2999999999999999E-3</v>
      </c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1.7592213149399997E-3</v>
      </c>
      <c r="W36" s="839">
        <v>1.0939999999999999E-3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3"/>
  <dimension ref="A1:AE36"/>
  <sheetViews>
    <sheetView topLeftCell="A14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74</v>
      </c>
      <c r="D3" s="580" t="s">
        <v>25</v>
      </c>
      <c r="E3" s="582">
        <v>39890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102</v>
      </c>
      <c r="D5" s="617"/>
      <c r="E5" s="618" t="s">
        <v>4</v>
      </c>
      <c r="F5" s="619" t="s">
        <v>128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554.1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131.69999999999999</v>
      </c>
      <c r="E13" s="668">
        <f>D13</f>
        <v>131.69999999999999</v>
      </c>
      <c r="F13" s="651">
        <f t="shared" si="13"/>
        <v>23.585243553008588</v>
      </c>
      <c r="G13" s="669">
        <f t="shared" si="14"/>
        <v>76.414756446991419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52.9</v>
      </c>
      <c r="E14" s="668">
        <f>D14</f>
        <v>52.9</v>
      </c>
      <c r="F14" s="651">
        <f t="shared" si="13"/>
        <v>9.473495702005728</v>
      </c>
      <c r="G14" s="669">
        <f t="shared" si="14"/>
        <v>66.941260744985698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72.599999999999994</v>
      </c>
      <c r="E15" s="656">
        <f>D15</f>
        <v>72.599999999999994</v>
      </c>
      <c r="F15" s="673">
        <f t="shared" si="13"/>
        <v>13.001432664756443</v>
      </c>
      <c r="G15" s="674">
        <f t="shared" si="14"/>
        <v>53.939828080229255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651.1</v>
      </c>
      <c r="E16" s="678">
        <f>D16-C16</f>
        <v>20.700000000000045</v>
      </c>
      <c r="F16" s="651">
        <f t="shared" si="13"/>
        <v>3.7070200573065981</v>
      </c>
      <c r="G16" s="657">
        <f t="shared" si="14"/>
        <v>50.232808022922654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562.6</v>
      </c>
      <c r="E17" s="681">
        <f t="shared" ref="E17:E24" si="15">D17-C17</f>
        <v>43.300000000000068</v>
      </c>
      <c r="F17" s="651">
        <f t="shared" si="13"/>
        <v>7.7542979942693515</v>
      </c>
      <c r="G17" s="669">
        <f t="shared" si="14"/>
        <v>42.478510028653304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540.9</v>
      </c>
      <c r="E18" s="682">
        <f t="shared" si="15"/>
        <v>34.699999999999989</v>
      </c>
      <c r="F18" s="651">
        <f t="shared" si="13"/>
        <v>6.214183381088823</v>
      </c>
      <c r="G18" s="669">
        <f t="shared" si="14"/>
        <v>36.264326647564481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409.9</v>
      </c>
      <c r="E19" s="681">
        <f t="shared" si="15"/>
        <v>26.099999999999966</v>
      </c>
      <c r="F19" s="651">
        <f t="shared" si="13"/>
        <v>4.6740687679083033</v>
      </c>
      <c r="G19" s="669">
        <f t="shared" si="14"/>
        <v>31.590257879656178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428.9</v>
      </c>
      <c r="E20" s="682">
        <f t="shared" si="15"/>
        <v>52.699999999999989</v>
      </c>
      <c r="F20" s="651">
        <f t="shared" si="13"/>
        <v>9.4376790830945527</v>
      </c>
      <c r="G20" s="669">
        <f t="shared" si="14"/>
        <v>22.152578796561627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13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385.2</v>
      </c>
      <c r="E21" s="681">
        <f t="shared" si="15"/>
        <v>54.399999999999977</v>
      </c>
      <c r="F21" s="651">
        <f t="shared" si="13"/>
        <v>9.7421203438395363</v>
      </c>
      <c r="G21" s="669">
        <f t="shared" si="14"/>
        <v>12.410458452722091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0.18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338.4</v>
      </c>
      <c r="E22" s="682">
        <f t="shared" si="15"/>
        <v>12.299999999999955</v>
      </c>
      <c r="F22" s="651">
        <f t="shared" si="13"/>
        <v>2.2027220630372408</v>
      </c>
      <c r="G22" s="669">
        <f t="shared" si="14"/>
        <v>10.20773638968485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72.222222222222229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310.10000000000002</v>
      </c>
      <c r="E23" s="681">
        <f t="shared" si="15"/>
        <v>5.7000000000000455</v>
      </c>
      <c r="F23" s="651">
        <f t="shared" si="13"/>
        <v>1.0207736389684894</v>
      </c>
      <c r="G23" s="684">
        <f t="shared" si="14"/>
        <v>9.1869627507163614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318.10000000000002</v>
      </c>
      <c r="E24" s="682">
        <f t="shared" si="15"/>
        <v>4.4000000000000341</v>
      </c>
      <c r="F24" s="686">
        <f t="shared" si="13"/>
        <v>0.78796561604585136</v>
      </c>
      <c r="G24" s="687">
        <f t="shared" si="14"/>
        <v>8.3989971346705108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3.871151999999999E-4</v>
      </c>
    </row>
    <row r="25" spans="1:26" ht="21.95" customHeight="1" thickBot="1" x14ac:dyDescent="0.3">
      <c r="A25" s="810"/>
      <c r="B25" s="670" t="s">
        <v>14</v>
      </c>
      <c r="C25" s="689">
        <v>367.5</v>
      </c>
      <c r="D25" s="690">
        <v>368.4</v>
      </c>
      <c r="E25" s="435">
        <f>D25-C25+(G6-C26)</f>
        <v>46.899999999999977</v>
      </c>
      <c r="F25" s="651">
        <f t="shared" si="13"/>
        <v>8.3989971346704806</v>
      </c>
      <c r="G25" s="657">
        <f>G24-F25</f>
        <v>3.0198066269804258E-14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508.1</v>
      </c>
      <c r="D26" s="693" t="s">
        <v>19</v>
      </c>
      <c r="E26" s="694">
        <f>SUM(E12:E25)</f>
        <v>558.40000000000009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-4.3000000000000682</v>
      </c>
      <c r="F27" s="700">
        <f>IF((E27/G6*100)&gt;1,"Fehler zu groß",(E27/G6*100))</f>
        <v>-0.77603320700235845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2.7549071999999997E-5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2.05E-4</v>
      </c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809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09" t="s">
        <v>45</v>
      </c>
      <c r="B33" s="809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809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809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2.9605759999999995E-4</v>
      </c>
      <c r="W36" s="838">
        <v>3.9330000000000002E-4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4"/>
  <dimension ref="A1:Z36"/>
  <sheetViews>
    <sheetView topLeftCell="A14" zoomScale="120" zoomScaleNormal="12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85546875" style="116" customWidth="1"/>
    <col min="5" max="5" width="12" style="116" customWidth="1"/>
    <col min="6" max="6" width="14.8554687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22" width="14.42578125" style="116" customWidth="1"/>
    <col min="23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115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2">
      <c r="A3" s="117" t="s">
        <v>23</v>
      </c>
      <c r="B3" s="118"/>
      <c r="C3" s="119" t="s">
        <v>86</v>
      </c>
      <c r="D3" s="120"/>
      <c r="E3" s="118" t="s">
        <v>25</v>
      </c>
      <c r="F3" s="121">
        <v>39841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29"/>
      <c r="E4" s="130" t="s">
        <v>24</v>
      </c>
      <c r="F4" s="128" t="s">
        <v>90</v>
      </c>
      <c r="G4" s="131"/>
      <c r="H4" s="115"/>
      <c r="I4" s="132"/>
      <c r="J4" s="133">
        <v>0.5</v>
      </c>
      <c r="K4" s="134"/>
      <c r="L4" s="135"/>
      <c r="M4" s="133">
        <f t="shared" ref="M4:M13" si="0">(L4-1)*1000</f>
        <v>-1000</v>
      </c>
      <c r="N4" s="133">
        <f t="shared" ref="N4:N13" si="1">M4+$F$33</f>
        <v>-1000</v>
      </c>
      <c r="O4" s="136"/>
      <c r="P4" s="133">
        <f t="shared" ref="P4:P13" si="2">N4+O4</f>
        <v>-1000</v>
      </c>
      <c r="Q4" s="137"/>
      <c r="R4" s="133" t="e">
        <f t="shared" ref="R4:R13" si="3">$F$36*P4</f>
        <v>#DIV/0!</v>
      </c>
      <c r="S4" s="138" t="e">
        <f t="shared" ref="S4:S13" si="4">$G$24/100*R4</f>
        <v>#DIV/0!</v>
      </c>
    </row>
    <row r="5" spans="1:23" ht="20.100000000000001" customHeight="1" x14ac:dyDescent="0.2">
      <c r="A5" s="127" t="s">
        <v>27</v>
      </c>
      <c r="B5" s="127"/>
      <c r="C5" s="119"/>
      <c r="D5" s="122"/>
      <c r="E5" s="139" t="s">
        <v>4</v>
      </c>
      <c r="F5" s="140"/>
      <c r="G5" s="14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">
      <c r="A6" s="143" t="s">
        <v>28</v>
      </c>
      <c r="B6" s="144"/>
      <c r="C6" s="119" t="s">
        <v>91</v>
      </c>
      <c r="D6" s="145"/>
      <c r="E6" s="127" t="s">
        <v>92</v>
      </c>
      <c r="F6" s="146"/>
      <c r="G6" s="147">
        <v>970.07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171">
        <v>100</v>
      </c>
      <c r="I11" s="164"/>
      <c r="J11" s="142"/>
      <c r="K11" s="134"/>
      <c r="L11" s="136"/>
      <c r="M11" s="133"/>
      <c r="N11" s="133"/>
      <c r="O11" s="165"/>
      <c r="P11" s="133"/>
      <c r="Q11" s="137"/>
      <c r="R11" s="133"/>
      <c r="S11" s="138"/>
    </row>
    <row r="12" spans="1:23" ht="19.5" customHeight="1" x14ac:dyDescent="0.2">
      <c r="A12" s="877"/>
      <c r="B12" s="172">
        <v>40</v>
      </c>
      <c r="C12" s="173" t="s">
        <v>21</v>
      </c>
      <c r="D12" s="174">
        <v>108</v>
      </c>
      <c r="E12" s="175">
        <f>D12</f>
        <v>108</v>
      </c>
      <c r="F12" s="170">
        <f t="shared" si="5"/>
        <v>11.137809770334234</v>
      </c>
      <c r="G12" s="176">
        <f t="shared" ref="G12:G24" si="6">G11-F12</f>
        <v>88.862190229665771</v>
      </c>
      <c r="I12" s="164" t="s">
        <v>94</v>
      </c>
      <c r="J12" s="142">
        <v>360</v>
      </c>
      <c r="K12" s="177"/>
      <c r="L12" s="136"/>
      <c r="M12" s="133">
        <f t="shared" si="0"/>
        <v>-1000</v>
      </c>
      <c r="N12" s="133">
        <f t="shared" si="1"/>
        <v>-1000</v>
      </c>
      <c r="O12" s="165"/>
      <c r="P12" s="133">
        <f t="shared" si="2"/>
        <v>-1000</v>
      </c>
      <c r="Q12" s="137"/>
      <c r="R12" s="133" t="e">
        <f t="shared" si="3"/>
        <v>#DIV/0!</v>
      </c>
      <c r="S12" s="138" t="e">
        <f t="shared" si="4"/>
        <v>#DIV/0!</v>
      </c>
    </row>
    <row r="13" spans="1:23" ht="19.5" customHeight="1" thickBot="1" x14ac:dyDescent="0.25">
      <c r="A13" s="877"/>
      <c r="B13" s="178">
        <v>30</v>
      </c>
      <c r="C13" s="179" t="s">
        <v>21</v>
      </c>
      <c r="D13" s="180">
        <v>166.7</v>
      </c>
      <c r="E13" s="181">
        <f>D13</f>
        <v>166.7</v>
      </c>
      <c r="F13" s="170">
        <f t="shared" si="5"/>
        <v>17.191415636247378</v>
      </c>
      <c r="G13" s="182">
        <f t="shared" si="6"/>
        <v>71.6707745934184</v>
      </c>
      <c r="I13" s="183" t="s">
        <v>95</v>
      </c>
      <c r="J13" s="184">
        <v>1440</v>
      </c>
      <c r="K13" s="185"/>
      <c r="L13" s="186"/>
      <c r="M13" s="187">
        <f t="shared" si="0"/>
        <v>-1000</v>
      </c>
      <c r="N13" s="187">
        <f t="shared" si="1"/>
        <v>-1000</v>
      </c>
      <c r="O13" s="188"/>
      <c r="P13" s="187">
        <f t="shared" si="2"/>
        <v>-1000</v>
      </c>
      <c r="Q13" s="189"/>
      <c r="R13" s="187" t="e">
        <f t="shared" si="3"/>
        <v>#DIV/0!</v>
      </c>
      <c r="S13" s="190" t="e">
        <f t="shared" si="4"/>
        <v>#DIV/0!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126.1</v>
      </c>
      <c r="E14" s="181">
        <f>D14</f>
        <v>126.1</v>
      </c>
      <c r="F14" s="170">
        <f t="shared" si="5"/>
        <v>13.004424185547656</v>
      </c>
      <c r="G14" s="182">
        <f t="shared" si="6"/>
        <v>58.666350407870745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120.2</v>
      </c>
      <c r="E15" s="175">
        <f>D15</f>
        <v>120.2</v>
      </c>
      <c r="F15" s="194">
        <f t="shared" si="5"/>
        <v>12.395969762909028</v>
      </c>
      <c r="G15" s="195">
        <f t="shared" si="6"/>
        <v>46.270380644961719</v>
      </c>
      <c r="I15" s="196"/>
      <c r="J15" s="197"/>
      <c r="K15" s="197"/>
      <c r="L15" s="197"/>
      <c r="M15" s="197"/>
      <c r="N15" s="197"/>
      <c r="O15" s="197"/>
      <c r="P15" s="197"/>
      <c r="Q15" s="197"/>
      <c r="R15" s="197"/>
      <c r="S15" s="198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653.1</v>
      </c>
      <c r="E16" s="202">
        <f>D16-C16</f>
        <v>22.700000000000045</v>
      </c>
      <c r="F16" s="170">
        <f t="shared" si="5"/>
        <v>2.3410026091350704</v>
      </c>
      <c r="G16" s="176">
        <f t="shared" si="6"/>
        <v>43.929378035826652</v>
      </c>
      <c r="I16" s="203"/>
      <c r="J16" s="204"/>
      <c r="K16" s="204"/>
      <c r="L16" s="204"/>
      <c r="M16" s="204"/>
      <c r="N16" s="204"/>
      <c r="O16" s="204"/>
      <c r="P16" s="204"/>
      <c r="Q16" s="204"/>
      <c r="R16" s="204"/>
      <c r="S16" s="205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580.29999999999995</v>
      </c>
      <c r="E17" s="208">
        <f t="shared" ref="E17:E24" si="7">D17-C17</f>
        <v>61</v>
      </c>
      <c r="F17" s="170">
        <f t="shared" si="5"/>
        <v>6.2907999628739653</v>
      </c>
      <c r="G17" s="182">
        <f t="shared" si="6"/>
        <v>37.638578072952683</v>
      </c>
      <c r="I17" s="203"/>
      <c r="J17" s="204"/>
      <c r="K17" s="204"/>
      <c r="L17" s="204"/>
      <c r="M17" s="204"/>
      <c r="N17" s="204"/>
      <c r="O17" s="204"/>
      <c r="P17" s="204"/>
      <c r="Q17" s="204"/>
      <c r="R17" s="204"/>
      <c r="S17" s="205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576.1</v>
      </c>
      <c r="E18" s="209">
        <f t="shared" si="7"/>
        <v>69.900000000000034</v>
      </c>
      <c r="F18" s="170">
        <f t="shared" si="5"/>
        <v>7.2086379902441049</v>
      </c>
      <c r="G18" s="182">
        <f t="shared" si="6"/>
        <v>30.429940082708576</v>
      </c>
      <c r="I18" s="203"/>
      <c r="J18" s="204"/>
      <c r="K18" s="204"/>
      <c r="L18" s="204"/>
      <c r="M18" s="204"/>
      <c r="N18" s="204"/>
      <c r="O18" s="204"/>
      <c r="P18" s="204"/>
      <c r="Q18" s="204"/>
      <c r="R18" s="204"/>
      <c r="S18" s="205"/>
    </row>
    <row r="19" spans="1:26" ht="21.95" customHeight="1" x14ac:dyDescent="0.2">
      <c r="A19" s="877"/>
      <c r="B19" s="206">
        <v>1</v>
      </c>
      <c r="C19" s="179">
        <v>383.8</v>
      </c>
      <c r="D19" s="207">
        <v>438</v>
      </c>
      <c r="E19" s="208">
        <f t="shared" si="7"/>
        <v>54.199999999999989</v>
      </c>
      <c r="F19" s="170">
        <f t="shared" si="5"/>
        <v>5.589530458815883</v>
      </c>
      <c r="G19" s="182">
        <f t="shared" si="6"/>
        <v>24.840409623892693</v>
      </c>
      <c r="I19" s="203"/>
      <c r="J19" s="204"/>
      <c r="K19" s="204"/>
      <c r="L19" s="204"/>
      <c r="M19" s="204"/>
      <c r="N19" s="204"/>
      <c r="O19" s="204"/>
      <c r="P19" s="204"/>
      <c r="Q19" s="204"/>
      <c r="R19" s="204"/>
      <c r="S19" s="205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449</v>
      </c>
      <c r="E20" s="209">
        <f t="shared" si="7"/>
        <v>72.800000000000011</v>
      </c>
      <c r="F20" s="170">
        <f t="shared" si="5"/>
        <v>7.5077088081512251</v>
      </c>
      <c r="G20" s="182">
        <f t="shared" si="6"/>
        <v>17.332700815741468</v>
      </c>
      <c r="I20" s="203"/>
      <c r="J20" s="204"/>
      <c r="K20" s="204"/>
      <c r="L20" s="204"/>
      <c r="M20" s="204"/>
      <c r="N20" s="204"/>
      <c r="O20" s="204"/>
      <c r="P20" s="204"/>
      <c r="Q20" s="204"/>
      <c r="R20" s="204"/>
      <c r="S20" s="205"/>
      <c r="V20" s="264" t="s">
        <v>107</v>
      </c>
      <c r="W20" s="266">
        <v>20.5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400.5</v>
      </c>
      <c r="E21" s="208">
        <f t="shared" si="7"/>
        <v>69.699999999999989</v>
      </c>
      <c r="F21" s="170">
        <f t="shared" si="5"/>
        <v>7.1880124165953339</v>
      </c>
      <c r="G21" s="182">
        <f t="shared" si="6"/>
        <v>10.144688399146133</v>
      </c>
      <c r="I21" s="203"/>
      <c r="J21" s="204"/>
      <c r="K21" s="204"/>
      <c r="L21" s="204"/>
      <c r="M21" s="204"/>
      <c r="N21" s="204"/>
      <c r="O21" s="204"/>
      <c r="P21" s="204"/>
      <c r="Q21" s="204"/>
      <c r="R21" s="204"/>
      <c r="S21" s="205"/>
      <c r="V21" s="264" t="s">
        <v>108</v>
      </c>
      <c r="W21" s="266">
        <v>0.39500000000000002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375.8</v>
      </c>
      <c r="E22" s="209">
        <f t="shared" si="7"/>
        <v>49.699999999999989</v>
      </c>
      <c r="F22" s="170">
        <f t="shared" si="5"/>
        <v>5.1254550517186237</v>
      </c>
      <c r="G22" s="182">
        <f t="shared" si="6"/>
        <v>5.0192333474275097</v>
      </c>
      <c r="I22" s="203"/>
      <c r="J22" s="204"/>
      <c r="K22" s="204"/>
      <c r="L22" s="204"/>
      <c r="M22" s="204"/>
      <c r="N22" s="204"/>
      <c r="O22" s="204"/>
      <c r="P22" s="204"/>
      <c r="Q22" s="204"/>
      <c r="R22" s="204"/>
      <c r="S22" s="205"/>
      <c r="U22" s="284" t="s">
        <v>119</v>
      </c>
      <c r="V22" s="285" t="s">
        <v>106</v>
      </c>
      <c r="W22" s="290">
        <f>W20/W21</f>
        <v>51.898734177215189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319.39999999999998</v>
      </c>
      <c r="E23" s="208">
        <f t="shared" si="7"/>
        <v>15</v>
      </c>
      <c r="F23" s="170">
        <f t="shared" si="5"/>
        <v>1.5469180236575324</v>
      </c>
      <c r="G23" s="211">
        <f t="shared" si="6"/>
        <v>3.4723153237699771</v>
      </c>
      <c r="I23" s="203"/>
      <c r="J23" s="204"/>
      <c r="K23" s="204"/>
      <c r="L23" s="204"/>
      <c r="M23" s="204"/>
      <c r="N23" s="204"/>
      <c r="O23" s="204"/>
      <c r="P23" s="204"/>
      <c r="Q23" s="204"/>
      <c r="R23" s="204"/>
      <c r="S23" s="205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319.7</v>
      </c>
      <c r="E24" s="209">
        <f t="shared" si="7"/>
        <v>6</v>
      </c>
      <c r="F24" s="213">
        <f t="shared" si="5"/>
        <v>0.618767209463013</v>
      </c>
      <c r="G24" s="214">
        <f t="shared" si="6"/>
        <v>2.8535481143069639</v>
      </c>
      <c r="I24" s="203"/>
      <c r="J24" s="204"/>
      <c r="K24" s="204"/>
      <c r="L24" s="204"/>
      <c r="M24" s="204"/>
      <c r="N24" s="204"/>
      <c r="O24" s="204"/>
      <c r="P24" s="204"/>
      <c r="Q24" s="204"/>
      <c r="R24" s="204"/>
      <c r="S24" s="205"/>
      <c r="V24" s="269" t="s">
        <v>111</v>
      </c>
      <c r="W24" s="270">
        <f>0.0116*(W21*W21)*(0.7+0.03*W19)</f>
        <v>1.8641866999999999E-3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f>370.5</f>
        <v>370.5</v>
      </c>
      <c r="E25" s="218">
        <f>D25-C25+(G6-C26)</f>
        <v>27.670000000000073</v>
      </c>
      <c r="F25" s="170">
        <f t="shared" si="5"/>
        <v>2.8535481143069354</v>
      </c>
      <c r="G25" s="176">
        <f>G24-F25</f>
        <v>2.8421709430404007E-14</v>
      </c>
      <c r="I25" s="203"/>
      <c r="J25" s="204"/>
      <c r="K25" s="204"/>
      <c r="L25" s="204"/>
      <c r="M25" s="204"/>
      <c r="N25" s="204"/>
      <c r="O25" s="204"/>
      <c r="P25" s="204"/>
      <c r="Q25" s="204"/>
      <c r="R25" s="204"/>
      <c r="S25" s="205"/>
      <c r="V25" s="265"/>
      <c r="W25" s="268"/>
    </row>
    <row r="26" spans="1:26" ht="21.95" customHeight="1" x14ac:dyDescent="0.2">
      <c r="A26" s="880" t="s">
        <v>40</v>
      </c>
      <c r="B26" s="993"/>
      <c r="C26" s="219">
        <f>27.3+918.1</f>
        <v>945.4</v>
      </c>
      <c r="D26" s="220" t="s">
        <v>19</v>
      </c>
      <c r="E26" s="221">
        <f>SUM(E12:E25)</f>
        <v>969.6700000000003</v>
      </c>
      <c r="F26" s="222">
        <f>SUM(F12:F25)</f>
        <v>99.999999999999957</v>
      </c>
      <c r="G26" s="223" t="s">
        <v>20</v>
      </c>
      <c r="I26" s="203"/>
      <c r="J26" s="204"/>
      <c r="K26" s="204"/>
      <c r="L26" s="204"/>
      <c r="M26" s="204"/>
      <c r="N26" s="204"/>
      <c r="O26" s="204"/>
      <c r="P26" s="204"/>
      <c r="Q26" s="204"/>
      <c r="R26" s="204"/>
      <c r="S26" s="205"/>
      <c r="V26" s="271" t="s">
        <v>110</v>
      </c>
      <c r="W26" s="272">
        <v>1.16E-3</v>
      </c>
      <c r="X26" s="273"/>
    </row>
    <row r="27" spans="1:26" ht="21.95" customHeight="1" thickBot="1" x14ac:dyDescent="0.3">
      <c r="A27" s="224"/>
      <c r="B27" s="225"/>
      <c r="C27" s="226" t="s">
        <v>21</v>
      </c>
      <c r="D27" s="227" t="s">
        <v>22</v>
      </c>
      <c r="E27" s="228">
        <f>G6-E26</f>
        <v>0.39999999999974989</v>
      </c>
      <c r="F27" s="229">
        <f>IF((E27/G6*100)&gt;1,"Fehler zu groß",(E27/G6*100))</f>
        <v>4.1234137742611345E-2</v>
      </c>
      <c r="G27" s="230" t="s">
        <v>20</v>
      </c>
      <c r="I27" s="203"/>
      <c r="J27" s="204"/>
      <c r="K27" s="204"/>
      <c r="L27" s="204"/>
      <c r="M27" s="204"/>
      <c r="N27" s="204"/>
      <c r="O27" s="204"/>
      <c r="P27" s="204"/>
      <c r="Q27" s="204"/>
      <c r="R27" s="204"/>
      <c r="S27" s="205"/>
      <c r="V27" s="274" t="s">
        <v>112</v>
      </c>
      <c r="W27" s="275">
        <f>W26*(W21*W21)*(0.7+0.003*W19)</f>
        <v>1.3266493700000003E-4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3"/>
      <c r="J28" s="204"/>
      <c r="K28" s="204"/>
      <c r="L28" s="204"/>
      <c r="M28" s="204"/>
      <c r="N28" s="204"/>
      <c r="O28" s="204"/>
      <c r="P28" s="204"/>
      <c r="Q28" s="204"/>
      <c r="R28" s="204"/>
      <c r="S28" s="205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3"/>
      <c r="J29" s="204"/>
      <c r="K29" s="204"/>
      <c r="L29" s="204"/>
      <c r="M29" s="204"/>
      <c r="N29" s="204"/>
      <c r="O29" s="204"/>
      <c r="P29" s="204"/>
      <c r="Q29" s="204"/>
      <c r="R29" s="204"/>
      <c r="S29" s="205"/>
      <c r="V29" s="277" t="s">
        <v>120</v>
      </c>
      <c r="W29" s="287">
        <v>9.0499999999999999E-4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3"/>
      <c r="J30" s="235"/>
      <c r="K30" s="235"/>
      <c r="L30" s="235"/>
      <c r="M30" s="235"/>
      <c r="N30" s="204"/>
      <c r="O30" s="204"/>
      <c r="P30" s="204"/>
      <c r="Q30" s="204"/>
      <c r="R30" s="204"/>
      <c r="S30" s="205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I31" s="236"/>
      <c r="J31" s="237"/>
      <c r="K31" s="237"/>
      <c r="L31" s="237"/>
      <c r="M31" s="204"/>
      <c r="N31" s="204"/>
      <c r="O31" s="204"/>
      <c r="P31" s="204"/>
      <c r="Q31" s="204"/>
      <c r="R31" s="204"/>
      <c r="S31" s="205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242" t="s">
        <v>97</v>
      </c>
      <c r="I32" s="236"/>
      <c r="J32" s="237"/>
      <c r="K32" s="243"/>
      <c r="L32" s="243"/>
      <c r="M32" s="204"/>
      <c r="N32" s="204"/>
      <c r="O32" s="204"/>
      <c r="P32" s="204"/>
      <c r="Q32" s="204"/>
      <c r="R32" s="204"/>
      <c r="S32" s="205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245" t="s">
        <v>5</v>
      </c>
      <c r="I33" s="246"/>
      <c r="J33" s="243"/>
      <c r="K33" s="243"/>
      <c r="L33" s="247"/>
      <c r="M33" s="204"/>
      <c r="N33" s="204"/>
      <c r="O33" s="204"/>
      <c r="P33" s="204"/>
      <c r="Q33" s="204"/>
      <c r="R33" s="204"/>
      <c r="S33" s="205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245" t="s">
        <v>6</v>
      </c>
      <c r="I34" s="246"/>
      <c r="J34" s="243"/>
      <c r="K34" s="243"/>
      <c r="L34" s="247"/>
      <c r="M34" s="204"/>
      <c r="N34" s="204"/>
      <c r="O34" s="204"/>
      <c r="P34" s="204"/>
      <c r="Q34" s="204"/>
      <c r="R34" s="204"/>
      <c r="S34" s="205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246"/>
      <c r="J35" s="243"/>
      <c r="K35" s="243"/>
      <c r="L35" s="247"/>
      <c r="M35" s="204"/>
      <c r="N35" s="204"/>
      <c r="O35" s="204"/>
      <c r="P35" s="204"/>
      <c r="Q35" s="204"/>
      <c r="R35" s="204"/>
      <c r="S35" s="205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52"/>
      <c r="J36" s="253"/>
      <c r="K36" s="253"/>
      <c r="L36" s="253"/>
      <c r="M36" s="253"/>
      <c r="N36" s="253"/>
      <c r="O36" s="253"/>
      <c r="P36" s="253"/>
      <c r="Q36" s="253"/>
      <c r="R36" s="253"/>
      <c r="S36" s="254"/>
      <c r="V36" s="267">
        <f>(W24+W29)/2</f>
        <v>1.3845933499999998E-3</v>
      </c>
      <c r="W36" s="839">
        <v>1.4760000000000001E-3</v>
      </c>
    </row>
  </sheetData>
  <sheetProtection selectLockedCells="1"/>
  <protectedRanges>
    <protectedRange password="C4F2" sqref="C3:D6 F3:G5 G6 F32:F35 K4:L13 O4:O13 Q4:Q13 D11:D25" name="Bereich1"/>
  </protectedRanges>
  <mergeCells count="17">
    <mergeCell ref="P1:P2"/>
    <mergeCell ref="Q1:Q2"/>
    <mergeCell ref="R1:R2"/>
    <mergeCell ref="S1:S2"/>
    <mergeCell ref="E8:F8"/>
    <mergeCell ref="G8:G9"/>
    <mergeCell ref="A1:G1"/>
    <mergeCell ref="I1:J2"/>
    <mergeCell ref="K1:K2"/>
    <mergeCell ref="L1:L2"/>
    <mergeCell ref="M1:M2"/>
    <mergeCell ref="N1:N2"/>
    <mergeCell ref="A11:A15"/>
    <mergeCell ref="A16:A24"/>
    <mergeCell ref="A26:B26"/>
    <mergeCell ref="A29:G29"/>
    <mergeCell ref="O1:O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5"/>
  <dimension ref="A1:Z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76</v>
      </c>
      <c r="D3" s="118" t="s">
        <v>25</v>
      </c>
      <c r="E3" s="121">
        <v>39848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133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484.6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18.100000000000001</v>
      </c>
      <c r="E13" s="181">
        <f>D13</f>
        <v>18.100000000000001</v>
      </c>
      <c r="F13" s="170">
        <f t="shared" si="5"/>
        <v>3.7396694214876036</v>
      </c>
      <c r="G13" s="182">
        <f t="shared" si="6"/>
        <v>96.260330578512395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6.7</v>
      </c>
      <c r="E14" s="181">
        <f>D14</f>
        <v>6.7</v>
      </c>
      <c r="F14" s="170">
        <f t="shared" si="5"/>
        <v>1.384297520661157</v>
      </c>
      <c r="G14" s="182">
        <f t="shared" si="6"/>
        <v>94.876033057851231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81.099999999999994</v>
      </c>
      <c r="E15" s="175">
        <f>D15</f>
        <v>81.099999999999994</v>
      </c>
      <c r="F15" s="194">
        <f t="shared" si="5"/>
        <v>16.756198347107436</v>
      </c>
      <c r="G15" s="195">
        <f t="shared" si="6"/>
        <v>78.119834710743788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656.7</v>
      </c>
      <c r="E16" s="202">
        <f>D16-C16</f>
        <v>26.300000000000068</v>
      </c>
      <c r="F16" s="170">
        <f t="shared" si="5"/>
        <v>5.4338842975206747</v>
      </c>
      <c r="G16" s="176">
        <f t="shared" si="6"/>
        <v>72.685950413223111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588</v>
      </c>
      <c r="E17" s="208">
        <f t="shared" ref="E17:E24" si="7">D17-C17</f>
        <v>68.700000000000045</v>
      </c>
      <c r="F17" s="170">
        <f t="shared" si="5"/>
        <v>14.194214876033065</v>
      </c>
      <c r="G17" s="182">
        <f t="shared" si="6"/>
        <v>58.491735537190046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580.79999999999995</v>
      </c>
      <c r="E18" s="209">
        <f t="shared" si="7"/>
        <v>74.599999999999966</v>
      </c>
      <c r="F18" s="170">
        <f t="shared" si="5"/>
        <v>15.413223140495861</v>
      </c>
      <c r="G18" s="182">
        <f t="shared" si="6"/>
        <v>43.078512396694187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439.3</v>
      </c>
      <c r="E19" s="208">
        <f t="shared" si="7"/>
        <v>55.5</v>
      </c>
      <c r="F19" s="170">
        <f t="shared" si="5"/>
        <v>11.46694214876033</v>
      </c>
      <c r="G19" s="182">
        <f t="shared" si="6"/>
        <v>31.611570247933855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452.9</v>
      </c>
      <c r="E20" s="209">
        <f t="shared" si="7"/>
        <v>76.699999999999989</v>
      </c>
      <c r="F20" s="170">
        <f t="shared" si="5"/>
        <v>15.847107438016526</v>
      </c>
      <c r="G20" s="182">
        <f t="shared" si="6"/>
        <v>15.76446280991733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4.2430000000000003</v>
      </c>
      <c r="X20" s="116" t="s">
        <v>341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361.1</v>
      </c>
      <c r="E21" s="208">
        <f t="shared" si="7"/>
        <v>30.300000000000011</v>
      </c>
      <c r="F21" s="170">
        <f t="shared" si="5"/>
        <v>6.2603305785123977</v>
      </c>
      <c r="G21" s="182">
        <f t="shared" si="6"/>
        <v>9.504132231404931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0.41830000000000001</v>
      </c>
      <c r="X21" s="116" t="s">
        <v>341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342.5</v>
      </c>
      <c r="E22" s="209">
        <f t="shared" si="7"/>
        <v>16.399999999999977</v>
      </c>
      <c r="F22" s="170">
        <f t="shared" si="5"/>
        <v>3.3884297520661106</v>
      </c>
      <c r="G22" s="182">
        <f t="shared" si="6"/>
        <v>6.1157024793388199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10.143437724121444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314.89999999999998</v>
      </c>
      <c r="E23" s="208">
        <f t="shared" si="7"/>
        <v>10.5</v>
      </c>
      <c r="F23" s="170">
        <f t="shared" si="5"/>
        <v>2.1694214876033056</v>
      </c>
      <c r="G23" s="211">
        <f t="shared" si="6"/>
        <v>3.9462809917355144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315.60000000000002</v>
      </c>
      <c r="E24" s="209">
        <f t="shared" si="7"/>
        <v>1.9000000000000341</v>
      </c>
      <c r="F24" s="213">
        <f t="shared" si="5"/>
        <v>0.39256198347108134</v>
      </c>
      <c r="G24" s="214">
        <f t="shared" si="6"/>
        <v>3.5537190082644332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2.0905999857199994E-3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368.2</v>
      </c>
      <c r="E25" s="218">
        <f>D25-C25+(G6-C26)</f>
        <v>17.199999999999989</v>
      </c>
      <c r="F25" s="170">
        <f t="shared" si="5"/>
        <v>3.5537190082644603</v>
      </c>
      <c r="G25" s="176">
        <f>G24-F25</f>
        <v>-2.708944180085382E-14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468.1</v>
      </c>
      <c r="D26" s="260" t="s">
        <v>19</v>
      </c>
      <c r="E26" s="221">
        <f>SUM(E12:E25)</f>
        <v>484.00000000000006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0.59999999999996589</v>
      </c>
      <c r="F27" s="310">
        <f>IF((E27/G6*100)&gt;1,"Fehler zu groß",(E27/G6*100))</f>
        <v>0.1238134543953706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1.4877764946919999E-4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1.2999999999999999E-3</v>
      </c>
      <c r="X29" s="286" t="s">
        <v>113</v>
      </c>
      <c r="Y29" s="288">
        <v>1.24E-3</v>
      </c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1.6652999928599998E-3</v>
      </c>
      <c r="W36" s="839">
        <v>1.0189999999999999E-3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6"/>
  <dimension ref="A1:AE36"/>
  <sheetViews>
    <sheetView topLeftCell="F9" zoomScaleNormal="10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77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29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/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435">
        <v>938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455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461">
        <v>51.8</v>
      </c>
      <c r="E12" s="656">
        <f>D12</f>
        <v>51.8</v>
      </c>
      <c r="F12" s="651">
        <f t="shared" si="13"/>
        <v>5.5478204990896431</v>
      </c>
      <c r="G12" s="657">
        <f t="shared" ref="G12:G24" si="14">G11-F12</f>
        <v>94.452179500910361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473">
        <v>84.2</v>
      </c>
      <c r="E13" s="668">
        <f>D13</f>
        <v>84.2</v>
      </c>
      <c r="F13" s="651">
        <f t="shared" si="13"/>
        <v>9.0178858305665628</v>
      </c>
      <c r="G13" s="669">
        <f t="shared" si="14"/>
        <v>85.434293670343806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473">
        <v>92.2</v>
      </c>
      <c r="E14" s="668">
        <f>D14</f>
        <v>92.2</v>
      </c>
      <c r="F14" s="651">
        <f t="shared" si="13"/>
        <v>9.8746920852522226</v>
      </c>
      <c r="G14" s="669">
        <f t="shared" si="14"/>
        <v>75.559601585091585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478">
        <v>114.5</v>
      </c>
      <c r="E15" s="656">
        <f>D15</f>
        <v>114.5</v>
      </c>
      <c r="F15" s="673">
        <f t="shared" si="13"/>
        <v>12.263039520188498</v>
      </c>
      <c r="G15" s="674">
        <f t="shared" si="14"/>
        <v>63.296562064903085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  <c r="AB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484">
        <v>661.9</v>
      </c>
      <c r="E16" s="678">
        <f>D16-C16</f>
        <v>31.5</v>
      </c>
      <c r="F16" s="651">
        <f t="shared" si="13"/>
        <v>3.3736746278247831</v>
      </c>
      <c r="G16" s="657">
        <f t="shared" si="14"/>
        <v>59.922887437078302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  <c r="AB16" s="116"/>
    </row>
    <row r="17" spans="1:28" ht="22.5" customHeight="1" thickBot="1" x14ac:dyDescent="0.25">
      <c r="A17" s="986"/>
      <c r="B17" s="679">
        <v>4</v>
      </c>
      <c r="C17" s="666">
        <v>519.29999999999995</v>
      </c>
      <c r="D17" s="562">
        <v>613.1</v>
      </c>
      <c r="E17" s="681">
        <f t="shared" ref="E17:E24" si="15">D17-C17</f>
        <v>93.800000000000068</v>
      </c>
      <c r="F17" s="651">
        <f t="shared" si="13"/>
        <v>10.04605333618936</v>
      </c>
      <c r="G17" s="669">
        <f t="shared" si="14"/>
        <v>49.876834100888942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  <c r="AB17" s="116"/>
    </row>
    <row r="18" spans="1:28" ht="21.95" customHeight="1" x14ac:dyDescent="0.2">
      <c r="A18" s="986"/>
      <c r="B18" s="679">
        <v>2</v>
      </c>
      <c r="C18" s="666">
        <v>506.2</v>
      </c>
      <c r="D18" s="562">
        <v>643.9</v>
      </c>
      <c r="E18" s="682">
        <f t="shared" si="15"/>
        <v>137.69999999999999</v>
      </c>
      <c r="F18" s="651">
        <f t="shared" si="13"/>
        <v>14.747777658776906</v>
      </c>
      <c r="G18" s="669">
        <f t="shared" si="14"/>
        <v>35.129056442112038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  <c r="AB18" s="116"/>
    </row>
    <row r="19" spans="1:28" ht="21.95" customHeight="1" x14ac:dyDescent="0.2">
      <c r="A19" s="986"/>
      <c r="B19" s="679">
        <v>1</v>
      </c>
      <c r="C19" s="666">
        <v>383.8</v>
      </c>
      <c r="D19" s="562">
        <v>497.2</v>
      </c>
      <c r="E19" s="681">
        <f t="shared" si="15"/>
        <v>113.39999999999998</v>
      </c>
      <c r="F19" s="651">
        <f t="shared" si="13"/>
        <v>12.145228660169217</v>
      </c>
      <c r="G19" s="669">
        <f t="shared" si="14"/>
        <v>22.983827781942821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  <c r="AB19" s="116"/>
    </row>
    <row r="20" spans="1:28" ht="21.95" customHeight="1" x14ac:dyDescent="0.2">
      <c r="A20" s="986"/>
      <c r="B20" s="665">
        <v>0.63</v>
      </c>
      <c r="C20" s="666">
        <v>376.2</v>
      </c>
      <c r="D20" s="562">
        <v>490</v>
      </c>
      <c r="E20" s="682">
        <f t="shared" si="15"/>
        <v>113.80000000000001</v>
      </c>
      <c r="F20" s="651">
        <f t="shared" si="13"/>
        <v>12.188068972903503</v>
      </c>
      <c r="G20" s="669">
        <f t="shared" si="14"/>
        <v>10.795758809039318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6.4088000000000003</v>
      </c>
      <c r="X20" s="116" t="s">
        <v>341</v>
      </c>
      <c r="Y20" s="116"/>
      <c r="Z20" s="116"/>
      <c r="AB20" s="116"/>
    </row>
    <row r="21" spans="1:28" ht="21.95" customHeight="1" thickBot="1" x14ac:dyDescent="0.25">
      <c r="A21" s="986"/>
      <c r="B21" s="683">
        <v>0.4</v>
      </c>
      <c r="C21" s="666">
        <v>330.8</v>
      </c>
      <c r="D21" s="562">
        <v>374.5</v>
      </c>
      <c r="E21" s="681">
        <f t="shared" si="15"/>
        <v>43.699999999999989</v>
      </c>
      <c r="F21" s="651">
        <f t="shared" si="13"/>
        <v>4.6803041662204121</v>
      </c>
      <c r="G21" s="669">
        <f t="shared" si="14"/>
        <v>6.1154546428189063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0.58599999999999997</v>
      </c>
      <c r="X21" s="116" t="s">
        <v>341</v>
      </c>
      <c r="Y21" s="116"/>
      <c r="Z21" s="116"/>
      <c r="AB21" s="116"/>
    </row>
    <row r="22" spans="1:28" ht="21.95" customHeight="1" thickBot="1" x14ac:dyDescent="0.3">
      <c r="A22" s="986"/>
      <c r="B22" s="683">
        <v>0.2</v>
      </c>
      <c r="C22" s="666">
        <v>326.10000000000002</v>
      </c>
      <c r="D22" s="562">
        <v>353.2</v>
      </c>
      <c r="E22" s="682">
        <f t="shared" si="15"/>
        <v>27.099999999999966</v>
      </c>
      <c r="F22" s="651">
        <f t="shared" si="13"/>
        <v>2.9024311877476667</v>
      </c>
      <c r="G22" s="669">
        <f t="shared" si="14"/>
        <v>3.2130234550712395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10.936518771331059</v>
      </c>
      <c r="X22" s="116"/>
      <c r="Y22" s="116"/>
      <c r="Z22" s="116"/>
      <c r="AB22" s="116"/>
    </row>
    <row r="23" spans="1:28" ht="21.95" customHeight="1" thickBot="1" x14ac:dyDescent="0.25">
      <c r="A23" s="986"/>
      <c r="B23" s="683">
        <v>0.1</v>
      </c>
      <c r="C23" s="666">
        <v>304.39999999999998</v>
      </c>
      <c r="D23" s="562">
        <v>321</v>
      </c>
      <c r="E23" s="681">
        <f t="shared" si="15"/>
        <v>16.600000000000023</v>
      </c>
      <c r="F23" s="651">
        <f t="shared" si="13"/>
        <v>1.7778729784727454</v>
      </c>
      <c r="G23" s="684">
        <f t="shared" si="14"/>
        <v>1.4351504765984942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  <c r="AB23" s="116"/>
    </row>
    <row r="24" spans="1:28" ht="21.95" customHeight="1" thickBot="1" x14ac:dyDescent="0.3">
      <c r="A24" s="988"/>
      <c r="B24" s="685">
        <v>6.3E-2</v>
      </c>
      <c r="C24" s="666">
        <v>313.7</v>
      </c>
      <c r="D24" s="562">
        <v>317.39999999999998</v>
      </c>
      <c r="E24" s="682">
        <f t="shared" si="15"/>
        <v>3.6999999999999886</v>
      </c>
      <c r="F24" s="686">
        <f t="shared" si="13"/>
        <v>0.39627289279211614</v>
      </c>
      <c r="G24" s="687">
        <f t="shared" si="14"/>
        <v>1.038877583806378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4.1028954079999989E-3</v>
      </c>
      <c r="X24" s="116"/>
      <c r="Y24" s="116"/>
      <c r="Z24" s="116"/>
      <c r="AB24" s="116"/>
    </row>
    <row r="25" spans="1:28" ht="21.95" customHeight="1" thickBot="1" x14ac:dyDescent="0.3">
      <c r="A25" s="727"/>
      <c r="B25" s="670" t="s">
        <v>14</v>
      </c>
      <c r="C25" s="689">
        <v>367.5</v>
      </c>
      <c r="D25" s="563">
        <v>377.2</v>
      </c>
      <c r="E25" s="691">
        <f>D25-C25+(G6-C26)</f>
        <v>9.6999999999999886</v>
      </c>
      <c r="F25" s="651">
        <f t="shared" si="13"/>
        <v>1.0388775838063606</v>
      </c>
      <c r="G25" s="657">
        <f>G24-F25</f>
        <v>1.7319479184152442E-14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  <c r="AB25" s="116"/>
    </row>
    <row r="26" spans="1:28" ht="21.95" customHeight="1" x14ac:dyDescent="0.2">
      <c r="A26" s="989" t="s">
        <v>40</v>
      </c>
      <c r="B26" s="990"/>
      <c r="C26" s="692">
        <v>938</v>
      </c>
      <c r="D26" s="693" t="s">
        <v>19</v>
      </c>
      <c r="E26" s="694">
        <f>SUM(E12:E25)</f>
        <v>933.7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1.1599999999999999E-2</v>
      </c>
      <c r="X26" s="273"/>
      <c r="Y26" s="116"/>
      <c r="Z26" s="116"/>
      <c r="AB26" s="116"/>
    </row>
    <row r="27" spans="1:28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4.2999999999999545</v>
      </c>
      <c r="F27" s="700">
        <f>IF((E27/G6*100)&gt;1,"Fehler zu groß",(E27/G6*100))</f>
        <v>0.45842217484008041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2.9198275087999994E-3</v>
      </c>
      <c r="X27" s="276" t="str">
        <f>IF(W22&lt;5.000001,"OK","U größer 5")</f>
        <v>U größer 5</v>
      </c>
      <c r="Y27" s="116"/>
      <c r="Z27" s="116"/>
      <c r="AB27" s="116"/>
    </row>
    <row r="28" spans="1:28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  <c r="AB28" s="116"/>
    </row>
    <row r="29" spans="1:28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>
        <v>2.5999999999999999E-3</v>
      </c>
      <c r="Z29" s="286" t="s">
        <v>114</v>
      </c>
      <c r="AB29" s="116"/>
    </row>
    <row r="30" spans="1:28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  <c r="AB30" s="116"/>
    </row>
    <row r="31" spans="1:28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  <c r="AB31" s="116"/>
    </row>
    <row r="32" spans="1:28" ht="21.95" customHeight="1" x14ac:dyDescent="0.35">
      <c r="A32" s="728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  <c r="AB32" s="116"/>
    </row>
    <row r="33" spans="1:28" ht="21.95" customHeight="1" thickBot="1" x14ac:dyDescent="0.3">
      <c r="A33" s="728" t="s">
        <v>45</v>
      </c>
      <c r="B33" s="728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  <c r="AB33" s="116"/>
    </row>
    <row r="34" spans="1:28" ht="21.95" customHeight="1" x14ac:dyDescent="0.25">
      <c r="A34" s="728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8" ht="21.95" customHeight="1" x14ac:dyDescent="0.3">
      <c r="A35" s="728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8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3.3514477039999994E-3</v>
      </c>
      <c r="W36" s="839">
        <v>2.467E-3</v>
      </c>
      <c r="X36" s="116"/>
      <c r="Y36" s="116"/>
      <c r="Z36" s="116"/>
    </row>
  </sheetData>
  <sheetProtection selectLockedCells="1"/>
  <protectedRanges>
    <protectedRange password="C4F2" sqref="E3:E4 C3:C6 D5:D6 G3:G5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_1"/>
    <protectedRange password="C4F2" sqref="G6" name="Bereich1_6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7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78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930.5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51.9</v>
      </c>
      <c r="E13" s="668">
        <f>D13</f>
        <v>51.9</v>
      </c>
      <c r="F13" s="651">
        <f t="shared" si="13"/>
        <v>5.5764478349629307</v>
      </c>
      <c r="G13" s="669">
        <f t="shared" si="14"/>
        <v>94.423552165037066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73.8</v>
      </c>
      <c r="E14" s="668">
        <f>D14</f>
        <v>73.8</v>
      </c>
      <c r="F14" s="651">
        <f t="shared" si="13"/>
        <v>7.9295154185022021</v>
      </c>
      <c r="G14" s="669">
        <f t="shared" si="14"/>
        <v>86.49403674653486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160.9</v>
      </c>
      <c r="E15" s="656">
        <f>D15</f>
        <v>160.9</v>
      </c>
      <c r="F15" s="673">
        <f t="shared" si="13"/>
        <v>17.288062748468892</v>
      </c>
      <c r="G15" s="674">
        <f t="shared" si="14"/>
        <v>69.205973998065971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663.9</v>
      </c>
      <c r="E16" s="678">
        <f>D16-C16</f>
        <v>33.5</v>
      </c>
      <c r="F16" s="651">
        <f t="shared" si="13"/>
        <v>3.59944128075642</v>
      </c>
      <c r="G16" s="657">
        <f t="shared" si="14"/>
        <v>65.606532717309548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624.79999999999995</v>
      </c>
      <c r="E17" s="681">
        <f t="shared" ref="E17:E24" si="15">D17-C17</f>
        <v>105.5</v>
      </c>
      <c r="F17" s="651">
        <f t="shared" si="13"/>
        <v>11.335553884173203</v>
      </c>
      <c r="G17" s="669">
        <f t="shared" si="14"/>
        <v>54.270978833136347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663.2</v>
      </c>
      <c r="E18" s="682">
        <f t="shared" si="15"/>
        <v>157.00000000000006</v>
      </c>
      <c r="F18" s="651">
        <f t="shared" si="13"/>
        <v>16.869023315783824</v>
      </c>
      <c r="G18" s="669">
        <f t="shared" si="14"/>
        <v>37.401955517352519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513.4</v>
      </c>
      <c r="E19" s="681">
        <f t="shared" si="15"/>
        <v>129.59999999999997</v>
      </c>
      <c r="F19" s="651">
        <f t="shared" si="13"/>
        <v>13.925002686150206</v>
      </c>
      <c r="G19" s="669">
        <f t="shared" si="14"/>
        <v>23.476952831202311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477.2</v>
      </c>
      <c r="E20" s="682">
        <f t="shared" si="15"/>
        <v>101</v>
      </c>
      <c r="F20" s="651">
        <f t="shared" si="13"/>
        <v>10.852046846459654</v>
      </c>
      <c r="G20" s="669">
        <f t="shared" si="14"/>
        <v>12.624905984742657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5.1601999999999997</v>
      </c>
      <c r="X20" s="116" t="s">
        <v>341</v>
      </c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388.6</v>
      </c>
      <c r="E21" s="681">
        <f t="shared" si="15"/>
        <v>57.800000000000011</v>
      </c>
      <c r="F21" s="651">
        <f t="shared" si="13"/>
        <v>6.2103792844095853</v>
      </c>
      <c r="G21" s="669">
        <f t="shared" si="14"/>
        <v>6.4145267003330719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0.53349999999999997</v>
      </c>
      <c r="X21" s="116" t="s">
        <v>341</v>
      </c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354.2</v>
      </c>
      <c r="E22" s="682">
        <f t="shared" si="15"/>
        <v>28.099999999999966</v>
      </c>
      <c r="F22" s="651">
        <f t="shared" si="13"/>
        <v>3.0192328355001576</v>
      </c>
      <c r="G22" s="669">
        <f t="shared" si="14"/>
        <v>3.3952938648329143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9.6723523898781636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320.3</v>
      </c>
      <c r="E23" s="681">
        <f t="shared" si="15"/>
        <v>15.900000000000034</v>
      </c>
      <c r="F23" s="651">
        <f t="shared" si="13"/>
        <v>1.708391533254543</v>
      </c>
      <c r="G23" s="684">
        <f t="shared" si="14"/>
        <v>1.6869023315783713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320.3</v>
      </c>
      <c r="E24" s="682">
        <f t="shared" si="15"/>
        <v>6.6000000000000227</v>
      </c>
      <c r="F24" s="686">
        <f t="shared" si="13"/>
        <v>0.70914365531320755</v>
      </c>
      <c r="G24" s="687">
        <f t="shared" si="14"/>
        <v>0.97775867626516377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3.4006666429999984E-3</v>
      </c>
      <c r="X24" s="116"/>
      <c r="Y24" s="116"/>
      <c r="Z24" s="116"/>
    </row>
    <row r="25" spans="1:26" ht="21.95" customHeight="1" thickBot="1" x14ac:dyDescent="0.3">
      <c r="A25" s="730"/>
      <c r="B25" s="670" t="s">
        <v>14</v>
      </c>
      <c r="C25" s="689">
        <v>367.5</v>
      </c>
      <c r="D25" s="690">
        <v>376.6</v>
      </c>
      <c r="E25" s="691">
        <f>D25-C25+(G6-C26)</f>
        <v>9.1000000000000227</v>
      </c>
      <c r="F25" s="651">
        <f t="shared" si="13"/>
        <v>0.97775867626517921</v>
      </c>
      <c r="G25" s="657">
        <f>G24-F25</f>
        <v>-1.5432100042289676E-14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930.5</v>
      </c>
      <c r="D26" s="693" t="s">
        <v>19</v>
      </c>
      <c r="E26" s="694">
        <f>SUM(E12:E25)</f>
        <v>930.7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-0.20000000000004547</v>
      </c>
      <c r="F27" s="700">
        <f>IF((E27/G6*100)&gt;1,"Fehler zu groß",(E27/G6*100))</f>
        <v>-2.149382052660349E-2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2.4200860672999995E-4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>
        <v>2.0999999999999999E-3</v>
      </c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2.7503333214999991E-3</v>
      </c>
      <c r="W36" s="839">
        <v>1.9220000000000001E-3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8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79</v>
      </c>
      <c r="D3" s="580" t="s">
        <v>25</v>
      </c>
      <c r="E3" s="582">
        <v>39905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4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309</v>
      </c>
      <c r="D5" s="617"/>
      <c r="E5" s="618" t="s">
        <v>4</v>
      </c>
      <c r="F5" s="619" t="s">
        <v>139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464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35.799999999999997</v>
      </c>
      <c r="E13" s="668">
        <f>D13</f>
        <v>35.799999999999997</v>
      </c>
      <c r="F13" s="651">
        <f t="shared" si="13"/>
        <v>7.6659528907922896</v>
      </c>
      <c r="G13" s="669">
        <f t="shared" si="14"/>
        <v>92.334047109207717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23.4</v>
      </c>
      <c r="E14" s="668">
        <f>D14</f>
        <v>23.4</v>
      </c>
      <c r="F14" s="651">
        <f t="shared" si="13"/>
        <v>5.0107066381156304</v>
      </c>
      <c r="G14" s="669">
        <f t="shared" si="14"/>
        <v>87.323340471092081</v>
      </c>
      <c r="U14" s="116"/>
      <c r="V14" s="116"/>
      <c r="W14" s="116"/>
      <c r="X14" s="116"/>
      <c r="Y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43.3</v>
      </c>
      <c r="E15" s="656">
        <f>D15</f>
        <v>43.3</v>
      </c>
      <c r="F15" s="673">
        <f t="shared" si="13"/>
        <v>9.271948608137043</v>
      </c>
      <c r="G15" s="674">
        <f t="shared" si="14"/>
        <v>78.051391862955043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635.1</v>
      </c>
      <c r="E16" s="678">
        <f>D16-C16</f>
        <v>4.7000000000000455</v>
      </c>
      <c r="F16" s="651">
        <f t="shared" si="13"/>
        <v>1.0064239828693886</v>
      </c>
      <c r="G16" s="657">
        <f t="shared" si="14"/>
        <v>77.04496788008565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548.4</v>
      </c>
      <c r="E17" s="681">
        <f t="shared" ref="E17:E24" si="15">D17-C17</f>
        <v>29.100000000000023</v>
      </c>
      <c r="F17" s="651">
        <f t="shared" si="13"/>
        <v>6.231263383297649</v>
      </c>
      <c r="G17" s="669">
        <f t="shared" si="14"/>
        <v>70.813704496788006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554</v>
      </c>
      <c r="E18" s="682">
        <f t="shared" si="15"/>
        <v>47.800000000000011</v>
      </c>
      <c r="F18" s="651">
        <f t="shared" si="13"/>
        <v>10.235546038543898</v>
      </c>
      <c r="G18" s="669">
        <f t="shared" si="14"/>
        <v>60.578158458244104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443.4</v>
      </c>
      <c r="E19" s="681">
        <f t="shared" si="15"/>
        <v>59.599999999999966</v>
      </c>
      <c r="F19" s="651">
        <f t="shared" si="13"/>
        <v>12.762312633832968</v>
      </c>
      <c r="G19" s="669">
        <f t="shared" si="14"/>
        <v>47.815845824411134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444</v>
      </c>
      <c r="E20" s="682">
        <f t="shared" si="15"/>
        <v>67.800000000000011</v>
      </c>
      <c r="F20" s="651">
        <f t="shared" si="13"/>
        <v>14.518201284796575</v>
      </c>
      <c r="G20" s="669">
        <f t="shared" si="14"/>
        <v>33.297644539614559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1.9531000000000001</v>
      </c>
      <c r="X20" s="116" t="s">
        <v>341</v>
      </c>
      <c r="Y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398.9</v>
      </c>
      <c r="E21" s="681">
        <f t="shared" si="15"/>
        <v>68.099999999999966</v>
      </c>
      <c r="F21" s="651">
        <f t="shared" si="13"/>
        <v>14.582441113490354</v>
      </c>
      <c r="G21" s="669">
        <f t="shared" si="14"/>
        <v>18.715203426124205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0.23580000000000001</v>
      </c>
      <c r="X21" s="116"/>
      <c r="Y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375.5</v>
      </c>
      <c r="E22" s="682">
        <f t="shared" si="15"/>
        <v>49.399999999999977</v>
      </c>
      <c r="F22" s="651">
        <f t="shared" si="13"/>
        <v>10.578158458244106</v>
      </c>
      <c r="G22" s="669">
        <f t="shared" si="14"/>
        <v>8.1370449678800991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8.2828668363019506</v>
      </c>
      <c r="X22" s="116"/>
      <c r="Y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311.3</v>
      </c>
      <c r="E23" s="681">
        <f t="shared" si="15"/>
        <v>6.9000000000000341</v>
      </c>
      <c r="F23" s="651">
        <f t="shared" si="13"/>
        <v>1.4775160599571806</v>
      </c>
      <c r="G23" s="684">
        <f t="shared" si="14"/>
        <v>6.659528907922919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318.3</v>
      </c>
      <c r="E24" s="682">
        <f t="shared" si="15"/>
        <v>4.6000000000000227</v>
      </c>
      <c r="F24" s="686">
        <f t="shared" si="13"/>
        <v>0.98501070663812051</v>
      </c>
      <c r="G24" s="687">
        <f t="shared" si="14"/>
        <v>5.6745182012847986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6.643283947199999E-4</v>
      </c>
      <c r="X24" s="116"/>
      <c r="Y24" s="116"/>
    </row>
    <row r="25" spans="1:26" ht="21.95" customHeight="1" thickBot="1" x14ac:dyDescent="0.3">
      <c r="A25" s="826"/>
      <c r="B25" s="670" t="s">
        <v>14</v>
      </c>
      <c r="C25" s="689">
        <v>367.5</v>
      </c>
      <c r="D25" s="690">
        <v>369</v>
      </c>
      <c r="E25" s="691">
        <f>D25-C25+(G6-C26)</f>
        <v>26.5</v>
      </c>
      <c r="F25" s="651">
        <f t="shared" si="13"/>
        <v>5.6745182012847959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</row>
    <row r="26" spans="1:26" ht="21.95" customHeight="1" x14ac:dyDescent="0.2">
      <c r="A26" s="989" t="s">
        <v>40</v>
      </c>
      <c r="B26" s="990"/>
      <c r="C26" s="692">
        <v>439</v>
      </c>
      <c r="D26" s="693" t="s">
        <v>19</v>
      </c>
      <c r="E26" s="694">
        <f>SUM(E12:E25)</f>
        <v>467.00000000000006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-3.0000000000000568</v>
      </c>
      <c r="F27" s="700">
        <f>IF((E27/G6*100)&gt;1,"Fehler zu groß",(E27/G6*100))</f>
        <v>-0.64655172413794326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4.7276962459200004E-5</v>
      </c>
      <c r="X27" s="276" t="str">
        <f>IF(W22&lt;5.000001,"OK","U größer 5")</f>
        <v>U größer 5</v>
      </c>
      <c r="Y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>
        <v>3.7500000000000001E-4</v>
      </c>
      <c r="Z29" s="530" t="s">
        <v>310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</row>
    <row r="32" spans="1:26" ht="21.95" customHeight="1" x14ac:dyDescent="0.35">
      <c r="A32" s="825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</row>
    <row r="33" spans="1:25" ht="21.95" customHeight="1" thickBot="1" x14ac:dyDescent="0.3">
      <c r="A33" s="825" t="s">
        <v>45</v>
      </c>
      <c r="B33" s="82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</row>
    <row r="34" spans="1:25" ht="21.95" customHeight="1" x14ac:dyDescent="0.25">
      <c r="A34" s="82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</row>
    <row r="35" spans="1:25" ht="21.95" customHeight="1" x14ac:dyDescent="0.3">
      <c r="A35" s="825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5.1966419735999996E-4</v>
      </c>
      <c r="W36" s="839">
        <v>2.5119999999999998E-4</v>
      </c>
      <c r="X36" s="116"/>
      <c r="Y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9"/>
  <dimension ref="A1:AE36"/>
  <sheetViews>
    <sheetView topLeftCell="A16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80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860.06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119.1</v>
      </c>
      <c r="E13" s="668">
        <f>D13</f>
        <v>119.1</v>
      </c>
      <c r="F13" s="651">
        <f t="shared" si="13"/>
        <v>14.038189533239031</v>
      </c>
      <c r="G13" s="669">
        <f t="shared" si="14"/>
        <v>85.961810466760966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63.7</v>
      </c>
      <c r="E14" s="668">
        <f>D14</f>
        <v>63.7</v>
      </c>
      <c r="F14" s="651">
        <f t="shared" si="13"/>
        <v>7.5082508250825057</v>
      </c>
      <c r="G14" s="669">
        <f t="shared" si="14"/>
        <v>78.453559641678453</v>
      </c>
      <c r="U14" s="116"/>
      <c r="V14" s="116"/>
      <c r="W14" s="116"/>
      <c r="X14" s="116"/>
      <c r="Y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79.3</v>
      </c>
      <c r="E15" s="656">
        <f>D15</f>
        <v>79.3</v>
      </c>
      <c r="F15" s="673">
        <f t="shared" si="13"/>
        <v>9.3470061291843436</v>
      </c>
      <c r="G15" s="674">
        <f t="shared" si="14"/>
        <v>69.106553512494116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645.5</v>
      </c>
      <c r="E16" s="678">
        <f>D16-C16</f>
        <v>15.100000000000023</v>
      </c>
      <c r="F16" s="651">
        <f t="shared" si="13"/>
        <v>1.7798208392267818</v>
      </c>
      <c r="G16" s="657">
        <f t="shared" si="14"/>
        <v>67.32673267326733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567.20000000000005</v>
      </c>
      <c r="E17" s="681">
        <f t="shared" ref="E17:E24" si="15">D17-C17</f>
        <v>47.900000000000091</v>
      </c>
      <c r="F17" s="651">
        <f t="shared" si="13"/>
        <v>5.6459217350306545</v>
      </c>
      <c r="G17" s="669">
        <f t="shared" si="14"/>
        <v>61.680810938236675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</row>
    <row r="18" spans="1:25" ht="21.95" customHeight="1" x14ac:dyDescent="0.2">
      <c r="A18" s="986"/>
      <c r="B18" s="679">
        <v>2</v>
      </c>
      <c r="C18" s="666">
        <v>506.2</v>
      </c>
      <c r="D18" s="680">
        <v>575.29999999999995</v>
      </c>
      <c r="E18" s="682">
        <f t="shared" si="15"/>
        <v>69.099999999999966</v>
      </c>
      <c r="F18" s="651">
        <f t="shared" si="13"/>
        <v>8.1447430457331382</v>
      </c>
      <c r="G18" s="669">
        <f t="shared" si="14"/>
        <v>53.536067892503539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</row>
    <row r="19" spans="1:25" ht="21.95" customHeight="1" x14ac:dyDescent="0.2">
      <c r="A19" s="986"/>
      <c r="B19" s="679">
        <v>1</v>
      </c>
      <c r="C19" s="666">
        <v>383.8</v>
      </c>
      <c r="D19" s="680">
        <v>451.7</v>
      </c>
      <c r="E19" s="681">
        <f t="shared" si="15"/>
        <v>67.899999999999977</v>
      </c>
      <c r="F19" s="651">
        <f t="shared" si="13"/>
        <v>8.0033003300329977</v>
      </c>
      <c r="G19" s="669">
        <f t="shared" si="14"/>
        <v>45.532767562470539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</row>
    <row r="20" spans="1:25" ht="21.95" customHeight="1" x14ac:dyDescent="0.2">
      <c r="A20" s="986"/>
      <c r="B20" s="665">
        <v>0.63</v>
      </c>
      <c r="C20" s="666">
        <v>376.2</v>
      </c>
      <c r="D20" s="680">
        <v>493.6</v>
      </c>
      <c r="E20" s="682">
        <f t="shared" si="15"/>
        <v>117.40000000000003</v>
      </c>
      <c r="F20" s="651">
        <f t="shared" si="13"/>
        <v>13.837812352663835</v>
      </c>
      <c r="G20" s="669">
        <f t="shared" si="14"/>
        <v>31.694955209806704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3.5556000000000001</v>
      </c>
      <c r="X20" s="116" t="s">
        <v>341</v>
      </c>
      <c r="Y20" s="116"/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458.6</v>
      </c>
      <c r="E21" s="681">
        <f t="shared" si="15"/>
        <v>127.80000000000001</v>
      </c>
      <c r="F21" s="651">
        <f t="shared" si="13"/>
        <v>15.06364922206506</v>
      </c>
      <c r="G21" s="669">
        <f t="shared" si="14"/>
        <v>16.631305987741644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0.2437</v>
      </c>
      <c r="X21" s="116"/>
      <c r="Y21" s="116"/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399.6</v>
      </c>
      <c r="E22" s="682">
        <f t="shared" si="15"/>
        <v>73.5</v>
      </c>
      <c r="F22" s="651">
        <f t="shared" si="13"/>
        <v>8.6633663366336595</v>
      </c>
      <c r="G22" s="669">
        <f t="shared" si="14"/>
        <v>7.9679396511079847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14.590069757899057</v>
      </c>
      <c r="X22" s="116"/>
      <c r="Y22" s="116"/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324.10000000000002</v>
      </c>
      <c r="E23" s="681">
        <f t="shared" si="15"/>
        <v>19.700000000000045</v>
      </c>
      <c r="F23" s="651">
        <f t="shared" si="13"/>
        <v>2.3220179160773267</v>
      </c>
      <c r="G23" s="684">
        <f t="shared" si="14"/>
        <v>5.6459217350306581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322.89999999999998</v>
      </c>
      <c r="E24" s="682">
        <f t="shared" si="15"/>
        <v>9.1999999999999886</v>
      </c>
      <c r="F24" s="686">
        <f t="shared" si="13"/>
        <v>1.0843941537010826</v>
      </c>
      <c r="G24" s="687">
        <f t="shared" si="14"/>
        <v>4.5615275813295755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7.095880161199999E-4</v>
      </c>
      <c r="X24" s="116"/>
      <c r="Y24" s="116"/>
    </row>
    <row r="25" spans="1:25" ht="21.95" customHeight="1" thickBot="1" x14ac:dyDescent="0.3">
      <c r="A25" s="821"/>
      <c r="B25" s="670" t="s">
        <v>14</v>
      </c>
      <c r="C25" s="689">
        <v>367.5</v>
      </c>
      <c r="D25" s="690">
        <v>406.2</v>
      </c>
      <c r="E25" s="691">
        <f>D25-C25+(G6-C26)</f>
        <v>38.699999999999989</v>
      </c>
      <c r="F25" s="651">
        <f t="shared" si="13"/>
        <v>4.5615275813295586</v>
      </c>
      <c r="G25" s="657">
        <f>G24-F25</f>
        <v>1.6875389974302379E-14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</row>
    <row r="26" spans="1:25" ht="21.95" customHeight="1" x14ac:dyDescent="0.2">
      <c r="A26" s="989" t="s">
        <v>40</v>
      </c>
      <c r="B26" s="990"/>
      <c r="C26" s="692">
        <v>860.06</v>
      </c>
      <c r="D26" s="693" t="s">
        <v>19</v>
      </c>
      <c r="E26" s="694">
        <f>SUM(E12:E25)</f>
        <v>848.40000000000032</v>
      </c>
      <c r="F26" s="695">
        <f>SUM(F12:F25)</f>
        <v>99.999999999999972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11.659999999999627</v>
      </c>
      <c r="F27" s="700" t="str">
        <f>IF((E27/G6*100)&gt;1,"Fehler zu groß",(E27/G6*100))</f>
        <v>Fehler zu groß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5.0497865613199996E-5</v>
      </c>
      <c r="X27" s="276" t="str">
        <f>IF(W22&lt;5.000001,"OK","U größer 5")</f>
        <v>U größer 5</v>
      </c>
      <c r="Y27" s="116"/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>
        <v>3.6999999999999999E-4</v>
      </c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</row>
    <row r="32" spans="1:25" ht="21.95" customHeight="1" x14ac:dyDescent="0.35">
      <c r="A32" s="820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</row>
    <row r="33" spans="1:25" ht="21.95" customHeight="1" thickBot="1" x14ac:dyDescent="0.3">
      <c r="A33" s="820" t="s">
        <v>45</v>
      </c>
      <c r="B33" s="820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</row>
    <row r="34" spans="1:25" ht="21.95" customHeight="1" x14ac:dyDescent="0.25">
      <c r="A34" s="820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</row>
    <row r="35" spans="1:25" ht="21.95" customHeight="1" x14ac:dyDescent="0.3">
      <c r="A35" s="820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5.3979400805999995E-4</v>
      </c>
      <c r="W36" s="839">
        <v>4.0289999999999998E-4</v>
      </c>
      <c r="X36" s="116"/>
      <c r="Y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0"/>
  <dimension ref="A1:AE36"/>
  <sheetViews>
    <sheetView topLeftCell="A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81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6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902.9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153.19999999999999</v>
      </c>
      <c r="E13" s="668">
        <f>D13</f>
        <v>153.19999999999999</v>
      </c>
      <c r="F13" s="651">
        <f t="shared" si="13"/>
        <v>16.969428444838279</v>
      </c>
      <c r="G13" s="669">
        <f t="shared" si="14"/>
        <v>83.030571555161714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92.8</v>
      </c>
      <c r="E14" s="668">
        <f>D14</f>
        <v>92.8</v>
      </c>
      <c r="F14" s="651">
        <f t="shared" si="13"/>
        <v>10.279131590606999</v>
      </c>
      <c r="G14" s="669">
        <f t="shared" si="14"/>
        <v>72.75143996455472</v>
      </c>
      <c r="U14" s="116"/>
      <c r="V14" s="116"/>
      <c r="W14" s="116"/>
      <c r="X14" s="116"/>
      <c r="Y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153.19999999999999</v>
      </c>
      <c r="E15" s="656">
        <f>D15</f>
        <v>153.19999999999999</v>
      </c>
      <c r="F15" s="673">
        <f t="shared" si="13"/>
        <v>16.969428444838279</v>
      </c>
      <c r="G15" s="674">
        <f t="shared" si="14"/>
        <v>55.782011519716441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650.9</v>
      </c>
      <c r="E16" s="678">
        <f>D16-C16</f>
        <v>20.5</v>
      </c>
      <c r="F16" s="651">
        <f t="shared" si="13"/>
        <v>2.2707133362871068</v>
      </c>
      <c r="G16" s="657">
        <f t="shared" si="14"/>
        <v>53.511298183429332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599.4</v>
      </c>
      <c r="E17" s="681">
        <f t="shared" ref="E17:E24" si="15">D17-C17</f>
        <v>80.100000000000023</v>
      </c>
      <c r="F17" s="651">
        <f t="shared" si="13"/>
        <v>8.8723969871510882</v>
      </c>
      <c r="G17" s="669">
        <f t="shared" si="14"/>
        <v>44.63890119627824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</row>
    <row r="18" spans="1:25" ht="21.95" customHeight="1" x14ac:dyDescent="0.2">
      <c r="A18" s="986"/>
      <c r="B18" s="679">
        <v>2</v>
      </c>
      <c r="C18" s="666">
        <v>506.2</v>
      </c>
      <c r="D18" s="680">
        <v>583</v>
      </c>
      <c r="E18" s="682">
        <f t="shared" si="15"/>
        <v>76.800000000000011</v>
      </c>
      <c r="F18" s="651">
        <f t="shared" si="13"/>
        <v>8.5068675232609667</v>
      </c>
      <c r="G18" s="669">
        <f t="shared" si="14"/>
        <v>36.132033673017276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</row>
    <row r="19" spans="1:25" ht="21.95" customHeight="1" x14ac:dyDescent="0.2">
      <c r="A19" s="986"/>
      <c r="B19" s="679">
        <v>1</v>
      </c>
      <c r="C19" s="666">
        <v>383.8</v>
      </c>
      <c r="D19" s="680">
        <v>462.7</v>
      </c>
      <c r="E19" s="681">
        <f t="shared" si="15"/>
        <v>78.899999999999977</v>
      </c>
      <c r="F19" s="651">
        <f t="shared" si="13"/>
        <v>8.7394771821001296</v>
      </c>
      <c r="G19" s="669">
        <f t="shared" si="14"/>
        <v>27.392556490917144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</row>
    <row r="20" spans="1:25" ht="21.95" customHeight="1" x14ac:dyDescent="0.2">
      <c r="A20" s="986"/>
      <c r="B20" s="665">
        <v>0.63</v>
      </c>
      <c r="C20" s="666">
        <v>376.2</v>
      </c>
      <c r="D20" s="680">
        <v>455.9</v>
      </c>
      <c r="E20" s="682">
        <f t="shared" si="15"/>
        <v>79.699999999999989</v>
      </c>
      <c r="F20" s="651">
        <f t="shared" si="13"/>
        <v>8.8280903854674317</v>
      </c>
      <c r="G20" s="669">
        <f t="shared" si="14"/>
        <v>18.564466105449711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11.5</v>
      </c>
      <c r="X20" s="116"/>
      <c r="Y20" s="116"/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404.3</v>
      </c>
      <c r="E21" s="681">
        <f t="shared" si="15"/>
        <v>73.5</v>
      </c>
      <c r="F21" s="651">
        <f t="shared" si="13"/>
        <v>8.1413380593708453</v>
      </c>
      <c r="G21" s="669">
        <f t="shared" si="14"/>
        <v>10.423128046078865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0.39</v>
      </c>
      <c r="X21" s="116"/>
      <c r="Y21" s="116"/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371.6</v>
      </c>
      <c r="E22" s="682">
        <f t="shared" si="15"/>
        <v>45.5</v>
      </c>
      <c r="F22" s="651">
        <f t="shared" si="13"/>
        <v>5.0398759415152847</v>
      </c>
      <c r="G22" s="669">
        <f t="shared" si="14"/>
        <v>5.3832521045635806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29.487179487179485</v>
      </c>
      <c r="X22" s="116"/>
      <c r="Y22" s="116"/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327.7</v>
      </c>
      <c r="E23" s="681">
        <f t="shared" si="15"/>
        <v>23.300000000000011</v>
      </c>
      <c r="F23" s="651">
        <f t="shared" si="13"/>
        <v>2.5808595480726639</v>
      </c>
      <c r="G23" s="684">
        <f t="shared" si="14"/>
        <v>2.8023925564909167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321.60000000000002</v>
      </c>
      <c r="E24" s="682">
        <f t="shared" si="15"/>
        <v>7.9000000000000341</v>
      </c>
      <c r="F24" s="686">
        <f t="shared" si="13"/>
        <v>0.8750553832521083</v>
      </c>
      <c r="G24" s="687">
        <f t="shared" si="14"/>
        <v>1.9273371732388083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1.8172907999999997E-3</v>
      </c>
      <c r="X24" s="116"/>
      <c r="Y24" s="116"/>
    </row>
    <row r="25" spans="1:25" ht="21.95" customHeight="1" thickBot="1" x14ac:dyDescent="0.3">
      <c r="A25" s="738"/>
      <c r="B25" s="670" t="s">
        <v>14</v>
      </c>
      <c r="C25" s="689">
        <v>367.5</v>
      </c>
      <c r="D25" s="690">
        <v>384.9</v>
      </c>
      <c r="E25" s="691">
        <f>D25-C25+(G6-C26)</f>
        <v>17.399999999999977</v>
      </c>
      <c r="F25" s="651">
        <f t="shared" si="13"/>
        <v>1.9273371732388098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</row>
    <row r="26" spans="1:25" ht="21.95" customHeight="1" x14ac:dyDescent="0.2">
      <c r="A26" s="989" t="s">
        <v>40</v>
      </c>
      <c r="B26" s="990"/>
      <c r="C26" s="692">
        <v>902.9</v>
      </c>
      <c r="D26" s="693" t="s">
        <v>19</v>
      </c>
      <c r="E26" s="694">
        <f>SUM(E12:E25)</f>
        <v>902.80000000000007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9.9999999999909051E-2</v>
      </c>
      <c r="F27" s="700">
        <f>IF((E27/G6*100)&gt;1,"Fehler zu groß",(E27/G6*100))</f>
        <v>1.1075423634943965E-2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1.29327588E-4</v>
      </c>
      <c r="X27" s="276" t="str">
        <f>IF(W22&lt;5.000001,"OK","U größer 5")</f>
        <v>U größer 5</v>
      </c>
      <c r="Y27" s="116"/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8.8999999999999995E-4</v>
      </c>
      <c r="X29" s="286" t="s">
        <v>113</v>
      </c>
      <c r="Y29" s="288"/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</row>
    <row r="32" spans="1:25" ht="21.95" customHeight="1" x14ac:dyDescent="0.35">
      <c r="A32" s="737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</row>
    <row r="33" spans="1:25" ht="21.95" customHeight="1" thickBot="1" x14ac:dyDescent="0.3">
      <c r="A33" s="737" t="s">
        <v>45</v>
      </c>
      <c r="B33" s="737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</row>
    <row r="34" spans="1:25" ht="21.95" customHeight="1" x14ac:dyDescent="0.25">
      <c r="A34" s="737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</row>
    <row r="35" spans="1:25" ht="21.95" customHeight="1" x14ac:dyDescent="0.3">
      <c r="A35" s="737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1.3536453999999998E-3</v>
      </c>
      <c r="W36" s="839">
        <v>1.642E-3</v>
      </c>
      <c r="X36" s="116"/>
      <c r="Y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1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82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6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40</v>
      </c>
      <c r="D6" s="628"/>
      <c r="E6" s="596" t="s">
        <v>41</v>
      </c>
      <c r="F6" s="629"/>
      <c r="G6" s="630">
        <v>1019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150.9</v>
      </c>
      <c r="E12" s="656">
        <f>D12</f>
        <v>150.9</v>
      </c>
      <c r="F12" s="651">
        <f t="shared" si="13"/>
        <v>14.847977959264</v>
      </c>
      <c r="G12" s="657">
        <f t="shared" ref="G12:G24" si="14">G11-F12</f>
        <v>85.152022040736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100.8</v>
      </c>
      <c r="E13" s="668">
        <f>D13</f>
        <v>100.8</v>
      </c>
      <c r="F13" s="651">
        <f t="shared" si="13"/>
        <v>9.9183312014169047</v>
      </c>
      <c r="G13" s="669">
        <f t="shared" si="14"/>
        <v>75.233690839319095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69.099999999999994</v>
      </c>
      <c r="E14" s="668">
        <f>D14</f>
        <v>69.099999999999994</v>
      </c>
      <c r="F14" s="651">
        <f t="shared" si="13"/>
        <v>6.7991734723998833</v>
      </c>
      <c r="G14" s="669">
        <f t="shared" si="14"/>
        <v>68.434517366919209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148.5</v>
      </c>
      <c r="E15" s="656">
        <f>D15</f>
        <v>148.5</v>
      </c>
      <c r="F15" s="673">
        <f t="shared" si="13"/>
        <v>14.611827216373122</v>
      </c>
      <c r="G15" s="674">
        <f t="shared" si="14"/>
        <v>53.822690150546087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656.6</v>
      </c>
      <c r="E16" s="678">
        <f>D16-C16</f>
        <v>26.200000000000045</v>
      </c>
      <c r="F16" s="651">
        <f t="shared" si="13"/>
        <v>2.5779789432254305</v>
      </c>
      <c r="G16" s="657">
        <f t="shared" si="14"/>
        <v>51.244711207320655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594.79999999999995</v>
      </c>
      <c r="E17" s="681">
        <f t="shared" ref="E17:E24" si="15">D17-C17</f>
        <v>75.5</v>
      </c>
      <c r="F17" s="651">
        <f t="shared" si="13"/>
        <v>7.4289087867755592</v>
      </c>
      <c r="G17" s="669">
        <f t="shared" si="14"/>
        <v>43.815802420545097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586.70000000000005</v>
      </c>
      <c r="E18" s="682">
        <f t="shared" si="15"/>
        <v>80.500000000000057</v>
      </c>
      <c r="F18" s="651">
        <f t="shared" si="13"/>
        <v>7.9208895011315628</v>
      </c>
      <c r="G18" s="669">
        <f t="shared" si="14"/>
        <v>35.894912919413535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455</v>
      </c>
      <c r="E19" s="681">
        <f t="shared" si="15"/>
        <v>71.199999999999989</v>
      </c>
      <c r="F19" s="651">
        <f t="shared" si="13"/>
        <v>7.0058053724294007</v>
      </c>
      <c r="G19" s="669">
        <f t="shared" si="14"/>
        <v>28.889107546984135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463.5</v>
      </c>
      <c r="E20" s="682">
        <f t="shared" si="15"/>
        <v>87.300000000000011</v>
      </c>
      <c r="F20" s="651">
        <f t="shared" si="13"/>
        <v>8.589983272655715</v>
      </c>
      <c r="G20" s="669">
        <f t="shared" si="14"/>
        <v>20.29912427432842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12.5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416.9</v>
      </c>
      <c r="E21" s="681">
        <f t="shared" si="15"/>
        <v>86.099999999999966</v>
      </c>
      <c r="F21" s="651">
        <f t="shared" si="13"/>
        <v>8.4719079012102707</v>
      </c>
      <c r="G21" s="669">
        <f t="shared" si="14"/>
        <v>11.82721637311815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0.31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384.2</v>
      </c>
      <c r="E22" s="682">
        <f t="shared" si="15"/>
        <v>58.099999999999966</v>
      </c>
      <c r="F22" s="651">
        <f t="shared" si="13"/>
        <v>5.7168159008166857</v>
      </c>
      <c r="G22" s="669">
        <f t="shared" si="14"/>
        <v>6.110400472301464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40.322580645161288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329.7</v>
      </c>
      <c r="E23" s="681">
        <f t="shared" si="15"/>
        <v>25.300000000000011</v>
      </c>
      <c r="F23" s="651">
        <f t="shared" si="13"/>
        <v>2.4894224146413473</v>
      </c>
      <c r="G23" s="684">
        <f t="shared" si="14"/>
        <v>3.6209780576601167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325.10000000000002</v>
      </c>
      <c r="E24" s="682">
        <f t="shared" si="15"/>
        <v>11.400000000000034</v>
      </c>
      <c r="F24" s="686">
        <f t="shared" si="13"/>
        <v>1.1217160287316774</v>
      </c>
      <c r="G24" s="687">
        <f t="shared" si="14"/>
        <v>2.4992620289284391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1.1482027999999997E-3</v>
      </c>
    </row>
    <row r="25" spans="1:26" ht="21.95" customHeight="1" thickBot="1" x14ac:dyDescent="0.3">
      <c r="A25" s="738"/>
      <c r="B25" s="670" t="s">
        <v>14</v>
      </c>
      <c r="C25" s="689">
        <v>367.5</v>
      </c>
      <c r="D25" s="690">
        <v>392.9</v>
      </c>
      <c r="E25" s="691">
        <f>D25-C25+(G6-C26)</f>
        <v>25.399999999999977</v>
      </c>
      <c r="F25" s="651">
        <f t="shared" si="13"/>
        <v>2.4992620289284639</v>
      </c>
      <c r="G25" s="657">
        <f>G24-F25</f>
        <v>-2.4868995751603507E-14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1019</v>
      </c>
      <c r="D26" s="693" t="s">
        <v>19</v>
      </c>
      <c r="E26" s="694">
        <f>SUM(E12:E25)</f>
        <v>1016.2999999999998</v>
      </c>
      <c r="F26" s="695">
        <f>SUM(F12:F25)</f>
        <v>100.00000000000004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2.7000000000001592</v>
      </c>
      <c r="F27" s="700">
        <f>IF((E27/G6*100)&gt;1,"Fehler zu groß",(E27/G6*100))</f>
        <v>0.26496565260060445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8.1711907999999995E-5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5">
        <v>5.9999999999999995E-4</v>
      </c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737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37" t="s">
        <v>45</v>
      </c>
      <c r="B33" s="737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737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37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8.7410139999999988E-4</v>
      </c>
      <c r="W36" s="838">
        <v>1.2780000000000001E-3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2"/>
  <dimension ref="A1:AE36"/>
  <sheetViews>
    <sheetView topLeftCell="K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83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1063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200.6</v>
      </c>
      <c r="E12" s="656">
        <f>D12</f>
        <v>200.6</v>
      </c>
      <c r="F12" s="651">
        <f t="shared" si="13"/>
        <v>18.992615035031246</v>
      </c>
      <c r="G12" s="657">
        <f t="shared" ref="G12:G24" si="14">G11-F12</f>
        <v>81.00738496496875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173.6</v>
      </c>
      <c r="E13" s="668">
        <f>D13</f>
        <v>173.6</v>
      </c>
      <c r="F13" s="651">
        <f t="shared" si="13"/>
        <v>16.436281007384967</v>
      </c>
      <c r="G13" s="669">
        <f t="shared" si="14"/>
        <v>64.571103957583787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130.6</v>
      </c>
      <c r="E14" s="668">
        <f>D14</f>
        <v>130.6</v>
      </c>
      <c r="F14" s="651">
        <f t="shared" si="13"/>
        <v>12.365082370763114</v>
      </c>
      <c r="G14" s="669">
        <f t="shared" si="14"/>
        <v>52.206021586820675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115</v>
      </c>
      <c r="E15" s="656">
        <f>D15</f>
        <v>115</v>
      </c>
      <c r="F15" s="673">
        <f t="shared" si="13"/>
        <v>10.88808937701193</v>
      </c>
      <c r="G15" s="674">
        <f t="shared" si="14"/>
        <v>41.317932209808745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656.4</v>
      </c>
      <c r="E16" s="678">
        <f>D16-C16</f>
        <v>26</v>
      </c>
      <c r="F16" s="651">
        <f t="shared" si="13"/>
        <v>2.4616549895853064</v>
      </c>
      <c r="G16" s="657">
        <f t="shared" si="14"/>
        <v>38.85627722022344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600.29999999999995</v>
      </c>
      <c r="E17" s="681">
        <f t="shared" ref="E17:E24" si="15">D17-C17</f>
        <v>81</v>
      </c>
      <c r="F17" s="651">
        <f t="shared" si="13"/>
        <v>7.6690020829388388</v>
      </c>
      <c r="G17" s="669">
        <f t="shared" si="14"/>
        <v>31.187275137284601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584.1</v>
      </c>
      <c r="E18" s="682">
        <f t="shared" si="15"/>
        <v>77.900000000000034</v>
      </c>
      <c r="F18" s="651">
        <f t="shared" si="13"/>
        <v>7.3754970649498253</v>
      </c>
      <c r="G18" s="669">
        <f t="shared" si="14"/>
        <v>23.811778072334775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447.2</v>
      </c>
      <c r="E19" s="681">
        <f t="shared" si="15"/>
        <v>63.399999999999977</v>
      </c>
      <c r="F19" s="651">
        <f t="shared" si="13"/>
        <v>6.002651013065706</v>
      </c>
      <c r="G19" s="669">
        <f t="shared" si="14"/>
        <v>17.80912705926907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440.9</v>
      </c>
      <c r="E20" s="682">
        <f t="shared" si="15"/>
        <v>64.699999999999989</v>
      </c>
      <c r="F20" s="651">
        <f t="shared" si="13"/>
        <v>6.1257337625449724</v>
      </c>
      <c r="G20" s="669">
        <f t="shared" si="14"/>
        <v>11.683393296724098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23.5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370</v>
      </c>
      <c r="E21" s="681">
        <f t="shared" si="15"/>
        <v>39.199999999999989</v>
      </c>
      <c r="F21" s="651">
        <f t="shared" si="13"/>
        <v>3.7114182919901531</v>
      </c>
      <c r="G21" s="669">
        <f t="shared" si="14"/>
        <v>7.9719750047339453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0.51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361.2</v>
      </c>
      <c r="E22" s="682">
        <f t="shared" si="15"/>
        <v>35.099999999999966</v>
      </c>
      <c r="F22" s="651">
        <f t="shared" si="13"/>
        <v>3.3232342359401605</v>
      </c>
      <c r="G22" s="669">
        <f t="shared" si="14"/>
        <v>4.6487407687937843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46.078431372549019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327.7</v>
      </c>
      <c r="E23" s="681">
        <f t="shared" si="15"/>
        <v>23.300000000000011</v>
      </c>
      <c r="F23" s="651">
        <f t="shared" si="13"/>
        <v>2.2060215868206794</v>
      </c>
      <c r="G23" s="684">
        <f t="shared" si="14"/>
        <v>2.4427191819731049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322.89999999999998</v>
      </c>
      <c r="E24" s="682">
        <f t="shared" si="15"/>
        <v>9.1999999999999886</v>
      </c>
      <c r="F24" s="686">
        <f t="shared" si="13"/>
        <v>0.87104715016095347</v>
      </c>
      <c r="G24" s="687">
        <f t="shared" si="14"/>
        <v>1.5716720318121515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3.1076747999999989E-3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384.1</v>
      </c>
      <c r="E25" s="691">
        <f>D25-C25</f>
        <v>16.600000000000023</v>
      </c>
      <c r="F25" s="651">
        <f t="shared" si="13"/>
        <v>1.5716720318121591</v>
      </c>
      <c r="G25" s="657">
        <f>G24-F25</f>
        <v>-7.5495165674510645E-15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1063</v>
      </c>
      <c r="D26" s="693" t="s">
        <v>19</v>
      </c>
      <c r="E26" s="694">
        <f>SUM(E12:E25)</f>
        <v>1056.1999999999998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6.8000000000001819</v>
      </c>
      <c r="F27" s="700">
        <f>IF((E27/G6*100)&gt;1,"Fehler zu groß",(E27/G6*100))</f>
        <v>0.63969896519286751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2.2115782799999998E-4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1.5100000000000001E-3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20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20" t="s">
        <v>45</v>
      </c>
      <c r="B33" s="720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20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20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2.3088373999999995E-3</v>
      </c>
      <c r="W36" s="839">
        <v>3.3319999999999999E-3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3"/>
  <dimension ref="A1:AE36"/>
  <sheetViews>
    <sheetView topLeftCell="A9" zoomScaleNormal="10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84</v>
      </c>
      <c r="D3" s="580" t="s">
        <v>25</v>
      </c>
      <c r="E3" s="582" t="s">
        <v>180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29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898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81.099999999999994</v>
      </c>
      <c r="E13" s="668">
        <f>D13</f>
        <v>81.099999999999994</v>
      </c>
      <c r="F13" s="651">
        <f t="shared" si="13"/>
        <v>9.0382257884765416</v>
      </c>
      <c r="G13" s="669">
        <f t="shared" si="14"/>
        <v>90.961774211523462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101.8</v>
      </c>
      <c r="E14" s="668">
        <f>D14</f>
        <v>101.8</v>
      </c>
      <c r="F14" s="651">
        <f t="shared" si="13"/>
        <v>11.345146550763403</v>
      </c>
      <c r="G14" s="669">
        <f t="shared" si="14"/>
        <v>79.616627660760059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143.6</v>
      </c>
      <c r="E15" s="656">
        <f>D15</f>
        <v>143.6</v>
      </c>
      <c r="F15" s="673">
        <f t="shared" si="13"/>
        <v>16.003566254318514</v>
      </c>
      <c r="G15" s="674">
        <f t="shared" si="14"/>
        <v>63.613061406441545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660.8</v>
      </c>
      <c r="E16" s="678">
        <f>D16-C16</f>
        <v>30.399999999999977</v>
      </c>
      <c r="F16" s="651">
        <f t="shared" si="13"/>
        <v>3.3879416025855327</v>
      </c>
      <c r="G16" s="657">
        <f t="shared" si="14"/>
        <v>60.22511980385601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607</v>
      </c>
      <c r="E17" s="681">
        <f t="shared" ref="E17:E24" si="15">D17-C17</f>
        <v>87.700000000000045</v>
      </c>
      <c r="F17" s="651">
        <f t="shared" si="13"/>
        <v>9.773765741669461</v>
      </c>
      <c r="G17" s="669">
        <f t="shared" si="14"/>
        <v>50.451354062186553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595.4</v>
      </c>
      <c r="E18" s="682">
        <f t="shared" si="15"/>
        <v>89.199999999999989</v>
      </c>
      <c r="F18" s="651">
        <f t="shared" si="13"/>
        <v>9.9409339128496601</v>
      </c>
      <c r="G18" s="669">
        <f t="shared" si="14"/>
        <v>40.510420149336895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491.9</v>
      </c>
      <c r="E19" s="681">
        <f t="shared" si="15"/>
        <v>108.09999999999997</v>
      </c>
      <c r="F19" s="651">
        <f t="shared" si="13"/>
        <v>12.047252869720271</v>
      </c>
      <c r="G19" s="669">
        <f t="shared" si="14"/>
        <v>28.463167279616624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490</v>
      </c>
      <c r="E20" s="682">
        <f t="shared" si="15"/>
        <v>113.80000000000001</v>
      </c>
      <c r="F20" s="651">
        <f t="shared" si="13"/>
        <v>12.682491920205063</v>
      </c>
      <c r="G20" s="669">
        <f t="shared" si="14"/>
        <v>15.780675359411561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6.2530999999999999</v>
      </c>
      <c r="X20" s="530" t="s">
        <v>341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388.1</v>
      </c>
      <c r="E21" s="681">
        <f t="shared" si="15"/>
        <v>57.300000000000011</v>
      </c>
      <c r="F21" s="651">
        <f t="shared" si="13"/>
        <v>6.3858241390839208</v>
      </c>
      <c r="G21" s="669">
        <f t="shared" si="14"/>
        <v>9.3948512203276398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0.42159999999999997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f>326.1+37.2</f>
        <v>363.3</v>
      </c>
      <c r="E22" s="682">
        <f t="shared" si="15"/>
        <v>37.199999999999989</v>
      </c>
      <c r="F22" s="651">
        <f t="shared" si="13"/>
        <v>4.1457706452691401</v>
      </c>
      <c r="G22" s="669">
        <f t="shared" si="14"/>
        <v>5.2490805750584997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14.831831119544592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f>304.4+22.4</f>
        <v>326.79999999999995</v>
      </c>
      <c r="E23" s="681">
        <f t="shared" si="15"/>
        <v>22.399999999999977</v>
      </c>
      <c r="F23" s="651">
        <f t="shared" si="13"/>
        <v>2.4963780229577601</v>
      </c>
      <c r="G23" s="684">
        <f t="shared" si="14"/>
        <v>2.7527025521007396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f>313.7+9.6</f>
        <v>323.3</v>
      </c>
      <c r="E24" s="682">
        <f t="shared" si="15"/>
        <v>9.6000000000000227</v>
      </c>
      <c r="F24" s="686">
        <f t="shared" si="13"/>
        <v>1.0698762955533294</v>
      </c>
      <c r="G24" s="687">
        <f t="shared" si="14"/>
        <v>1.6828262565474101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2.1237158988799991E-3</v>
      </c>
    </row>
    <row r="25" spans="1:26" ht="21.95" customHeight="1" thickBot="1" x14ac:dyDescent="0.3">
      <c r="A25" s="727"/>
      <c r="B25" s="670" t="s">
        <v>14</v>
      </c>
      <c r="C25" s="689">
        <v>367.5</v>
      </c>
      <c r="D25" s="690">
        <f>367.5+15.1</f>
        <v>382.6</v>
      </c>
      <c r="E25" s="691">
        <f>D25-C25+(G6-C26)</f>
        <v>15.100000000000023</v>
      </c>
      <c r="F25" s="651">
        <f t="shared" si="13"/>
        <v>1.682826256547423</v>
      </c>
      <c r="G25" s="657">
        <f>G24-F25</f>
        <v>-1.2878587085651816E-14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898</v>
      </c>
      <c r="D26" s="693" t="s">
        <v>19</v>
      </c>
      <c r="E26" s="694">
        <f>SUM(E12:E25)</f>
        <v>897.29999999999984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0.70000000000015916</v>
      </c>
      <c r="F27" s="700">
        <f>IF((E27/G6*100)&gt;1,"Fehler zu groß",(E27/G6*100))</f>
        <v>7.7951002227189217E-2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1.5113434503679997E-4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5">
        <v>1.1999999999999999E-3</v>
      </c>
      <c r="X29" s="554" t="s">
        <v>113</v>
      </c>
      <c r="Y29" s="555">
        <v>1.15E-3</v>
      </c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728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28" t="s">
        <v>45</v>
      </c>
      <c r="B33" s="728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733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728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28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333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(W24+Y29)/2</f>
        <v>1.6368579494399995E-3</v>
      </c>
      <c r="W36" s="838">
        <v>1.3389999999999999E-3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4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85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40</v>
      </c>
      <c r="D6" s="628"/>
      <c r="E6" s="596" t="s">
        <v>41</v>
      </c>
      <c r="F6" s="629"/>
      <c r="G6" s="630">
        <v>1013.7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60.7</v>
      </c>
      <c r="E12" s="656">
        <f>D12</f>
        <v>60.7</v>
      </c>
      <c r="F12" s="651">
        <f t="shared" si="13"/>
        <v>6.005144440047486</v>
      </c>
      <c r="G12" s="657">
        <f t="shared" ref="G12:G24" si="14">G11-F12</f>
        <v>93.994855559952512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24.2</v>
      </c>
      <c r="E13" s="668">
        <f>D13</f>
        <v>24.2</v>
      </c>
      <c r="F13" s="651">
        <f t="shared" si="13"/>
        <v>2.3941432528690143</v>
      </c>
      <c r="G13" s="669">
        <f t="shared" si="14"/>
        <v>91.600712307083498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153</v>
      </c>
      <c r="E14" s="668">
        <f>D14</f>
        <v>153</v>
      </c>
      <c r="F14" s="651">
        <f t="shared" si="13"/>
        <v>15.136525524337156</v>
      </c>
      <c r="G14" s="669">
        <f t="shared" si="14"/>
        <v>76.464186782746339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221.6</v>
      </c>
      <c r="E15" s="656">
        <f>D15</f>
        <v>221.6</v>
      </c>
      <c r="F15" s="673">
        <f t="shared" si="13"/>
        <v>21.923229125445186</v>
      </c>
      <c r="G15" s="674">
        <f t="shared" si="14"/>
        <v>54.540957657301149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674.9</v>
      </c>
      <c r="E16" s="678">
        <f>D16-C16</f>
        <v>44.5</v>
      </c>
      <c r="F16" s="651">
        <f t="shared" si="13"/>
        <v>4.4024535021764937</v>
      </c>
      <c r="G16" s="657">
        <f t="shared" si="14"/>
        <v>50.138504155124657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611.6</v>
      </c>
      <c r="E17" s="681">
        <f t="shared" ref="E17:E24" si="15">D17-C17</f>
        <v>92.300000000000068</v>
      </c>
      <c r="F17" s="651">
        <f t="shared" si="13"/>
        <v>9.1313810842896768</v>
      </c>
      <c r="G17" s="669">
        <f t="shared" si="14"/>
        <v>41.007123070834979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5" ht="21.95" customHeight="1" x14ac:dyDescent="0.2">
      <c r="A18" s="986"/>
      <c r="B18" s="679">
        <v>2</v>
      </c>
      <c r="C18" s="666">
        <v>506.2</v>
      </c>
      <c r="D18" s="680">
        <v>597.20000000000005</v>
      </c>
      <c r="E18" s="682">
        <f t="shared" si="15"/>
        <v>91.000000000000057</v>
      </c>
      <c r="F18" s="651">
        <f t="shared" si="13"/>
        <v>9.0027700831024973</v>
      </c>
      <c r="G18" s="669">
        <f t="shared" si="14"/>
        <v>32.004352987732481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5" ht="21.95" customHeight="1" x14ac:dyDescent="0.2">
      <c r="A19" s="986"/>
      <c r="B19" s="679">
        <v>1</v>
      </c>
      <c r="C19" s="666">
        <v>383.8</v>
      </c>
      <c r="D19" s="680">
        <v>465.3</v>
      </c>
      <c r="E19" s="681">
        <f t="shared" si="15"/>
        <v>81.5</v>
      </c>
      <c r="F19" s="651">
        <f t="shared" si="13"/>
        <v>8.062920459042342</v>
      </c>
      <c r="G19" s="669">
        <f t="shared" si="14"/>
        <v>23.941432528690139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5" ht="21.95" customHeight="1" x14ac:dyDescent="0.2">
      <c r="A20" s="986"/>
      <c r="B20" s="665">
        <v>0.63</v>
      </c>
      <c r="C20" s="666">
        <v>376.2</v>
      </c>
      <c r="D20" s="680">
        <v>469.2</v>
      </c>
      <c r="E20" s="682">
        <f t="shared" si="15"/>
        <v>93</v>
      </c>
      <c r="F20" s="651">
        <f t="shared" si="13"/>
        <v>9.2006331618519965</v>
      </c>
      <c r="G20" s="669">
        <f t="shared" si="14"/>
        <v>14.740799366838143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11.5</v>
      </c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385.8</v>
      </c>
      <c r="E21" s="681">
        <f t="shared" si="15"/>
        <v>55</v>
      </c>
      <c r="F21" s="651">
        <f t="shared" si="13"/>
        <v>5.4412346656113959</v>
      </c>
      <c r="G21" s="669">
        <f t="shared" si="14"/>
        <v>9.2995647012267462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0.42</v>
      </c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364.7</v>
      </c>
      <c r="E22" s="682">
        <f t="shared" si="15"/>
        <v>38.599999999999966</v>
      </c>
      <c r="F22" s="651">
        <f t="shared" si="13"/>
        <v>3.8187574198654493</v>
      </c>
      <c r="G22" s="669">
        <f t="shared" si="14"/>
        <v>5.4808072813612974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27.380952380952383</v>
      </c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329.5</v>
      </c>
      <c r="E23" s="681">
        <f t="shared" si="15"/>
        <v>25.100000000000023</v>
      </c>
      <c r="F23" s="651">
        <f t="shared" si="13"/>
        <v>2.4831816383062937</v>
      </c>
      <c r="G23" s="684">
        <f t="shared" si="14"/>
        <v>2.9976256430550037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323.7</v>
      </c>
      <c r="E24" s="682">
        <f t="shared" si="15"/>
        <v>10</v>
      </c>
      <c r="F24" s="686">
        <f t="shared" si="13"/>
        <v>0.98931539374752653</v>
      </c>
      <c r="G24" s="687">
        <f t="shared" si="14"/>
        <v>2.0083102493074771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2.1076271999999991E-3</v>
      </c>
    </row>
    <row r="25" spans="1:25" ht="21.95" customHeight="1" thickBot="1" x14ac:dyDescent="0.3">
      <c r="A25" s="810"/>
      <c r="B25" s="670" t="s">
        <v>14</v>
      </c>
      <c r="C25" s="689">
        <v>367.5</v>
      </c>
      <c r="D25" s="690">
        <v>387.8</v>
      </c>
      <c r="E25" s="691">
        <f>D25-C25+(G6-C26)</f>
        <v>20.300000000000011</v>
      </c>
      <c r="F25" s="651">
        <f t="shared" si="13"/>
        <v>2.0083102493074798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5" ht="21.95" customHeight="1" x14ac:dyDescent="0.2">
      <c r="A26" s="989" t="s">
        <v>40</v>
      </c>
      <c r="B26" s="990"/>
      <c r="C26" s="692">
        <v>1013.7</v>
      </c>
      <c r="D26" s="693" t="s">
        <v>19</v>
      </c>
      <c r="E26" s="694">
        <f>SUM(E12:E25)</f>
        <v>1010.8000000000002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2.8999999999998636</v>
      </c>
      <c r="F27" s="700">
        <f>IF((E27/G6*100)&gt;1,"Fehler zu groß",(E27/G6*100))</f>
        <v>0.28608069448553453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1.4998939199999995E-4</v>
      </c>
      <c r="X27" s="551" t="str">
        <f>IF(W22&lt;5.000001,"OK","U größer 5")</f>
        <v>U größer 5</v>
      </c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1.1000000000000001E-3</v>
      </c>
      <c r="X29" s="554" t="s">
        <v>113</v>
      </c>
      <c r="Y29" s="555"/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</row>
    <row r="32" spans="1:25" ht="21.95" customHeight="1" x14ac:dyDescent="0.35">
      <c r="A32" s="809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</row>
    <row r="33" spans="1:25" ht="21.95" customHeight="1" thickBot="1" x14ac:dyDescent="0.3">
      <c r="A33" s="809" t="s">
        <v>45</v>
      </c>
      <c r="B33" s="809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</row>
    <row r="34" spans="1:25" ht="21.95" customHeight="1" x14ac:dyDescent="0.25">
      <c r="A34" s="809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5" ht="21.95" customHeight="1" x14ac:dyDescent="0.3">
      <c r="A35" s="809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1.6038135999999997E-3</v>
      </c>
      <c r="W36" s="838">
        <v>1.7899999999999999E-3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5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86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40</v>
      </c>
      <c r="D6" s="628"/>
      <c r="E6" s="596" t="s">
        <v>41</v>
      </c>
      <c r="F6" s="629"/>
      <c r="G6" s="630">
        <v>916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181</v>
      </c>
      <c r="E12" s="656">
        <f>D12</f>
        <v>181</v>
      </c>
      <c r="F12" s="651">
        <f t="shared" si="13"/>
        <v>19.783582905235537</v>
      </c>
      <c r="G12" s="657">
        <f t="shared" ref="G12:G24" si="14">G11-F12</f>
        <v>80.216417094764466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107.8</v>
      </c>
      <c r="E13" s="668">
        <f>D13</f>
        <v>107.8</v>
      </c>
      <c r="F13" s="651">
        <f t="shared" si="13"/>
        <v>11.782708492731441</v>
      </c>
      <c r="G13" s="669">
        <f t="shared" si="14"/>
        <v>68.433708602033022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47.7</v>
      </c>
      <c r="E14" s="668">
        <f>D14</f>
        <v>47.7</v>
      </c>
      <c r="F14" s="651">
        <f t="shared" si="13"/>
        <v>5.2136845556891451</v>
      </c>
      <c r="G14" s="669">
        <f t="shared" si="14"/>
        <v>63.22002404634388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120</v>
      </c>
      <c r="E15" s="656">
        <f>D15</f>
        <v>120</v>
      </c>
      <c r="F15" s="673">
        <f t="shared" si="13"/>
        <v>13.116187561482123</v>
      </c>
      <c r="G15" s="674">
        <f t="shared" si="14"/>
        <v>50.103836484861759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664.6</v>
      </c>
      <c r="E16" s="678">
        <f>D16-C16</f>
        <v>34.200000000000045</v>
      </c>
      <c r="F16" s="651">
        <f t="shared" si="13"/>
        <v>3.7381134550224107</v>
      </c>
      <c r="G16" s="657">
        <f t="shared" si="14"/>
        <v>46.365723029839351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610.29999999999995</v>
      </c>
      <c r="E17" s="681">
        <f t="shared" ref="E17:E24" si="15">D17-C17</f>
        <v>91</v>
      </c>
      <c r="F17" s="651">
        <f t="shared" si="13"/>
        <v>9.9464422341239445</v>
      </c>
      <c r="G17" s="669">
        <f t="shared" si="14"/>
        <v>36.419280795715409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5" ht="21.95" customHeight="1" x14ac:dyDescent="0.2">
      <c r="A18" s="986"/>
      <c r="B18" s="679">
        <v>2</v>
      </c>
      <c r="C18" s="666">
        <v>506.2</v>
      </c>
      <c r="D18" s="680">
        <v>592.1</v>
      </c>
      <c r="E18" s="682">
        <f t="shared" si="15"/>
        <v>85.900000000000034</v>
      </c>
      <c r="F18" s="651">
        <f t="shared" si="13"/>
        <v>9.3890042627609578</v>
      </c>
      <c r="G18" s="669">
        <f t="shared" si="14"/>
        <v>27.030276532954453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5" ht="21.95" customHeight="1" x14ac:dyDescent="0.2">
      <c r="A19" s="986"/>
      <c r="B19" s="679">
        <v>1</v>
      </c>
      <c r="C19" s="666">
        <v>383.8</v>
      </c>
      <c r="D19" s="680">
        <v>455</v>
      </c>
      <c r="E19" s="681">
        <f t="shared" si="15"/>
        <v>71.199999999999989</v>
      </c>
      <c r="F19" s="651">
        <f t="shared" si="13"/>
        <v>7.7822712864793937</v>
      </c>
      <c r="G19" s="669">
        <f t="shared" si="14"/>
        <v>19.24800524647506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5" ht="21.95" customHeight="1" x14ac:dyDescent="0.2">
      <c r="A20" s="986"/>
      <c r="B20" s="665">
        <v>0.63</v>
      </c>
      <c r="C20" s="666">
        <v>376.2</v>
      </c>
      <c r="D20" s="680">
        <v>448.2</v>
      </c>
      <c r="E20" s="682">
        <f t="shared" si="15"/>
        <v>72</v>
      </c>
      <c r="F20" s="651">
        <f t="shared" si="13"/>
        <v>7.8697125368892742</v>
      </c>
      <c r="G20" s="669">
        <f t="shared" si="14"/>
        <v>11.378292709585786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16.5</v>
      </c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368.3</v>
      </c>
      <c r="E21" s="681">
        <f t="shared" si="15"/>
        <v>37.5</v>
      </c>
      <c r="F21" s="651">
        <f t="shared" si="13"/>
        <v>4.0988086129631638</v>
      </c>
      <c r="G21" s="669">
        <f t="shared" si="14"/>
        <v>7.279484096622622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0.53</v>
      </c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353.8</v>
      </c>
      <c r="E22" s="682">
        <f t="shared" si="15"/>
        <v>27.699999999999989</v>
      </c>
      <c r="F22" s="651">
        <f t="shared" si="13"/>
        <v>3.0276532954421222</v>
      </c>
      <c r="G22" s="669">
        <f t="shared" si="14"/>
        <v>4.2518308011804997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31.132075471698112</v>
      </c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323.39999999999998</v>
      </c>
      <c r="E23" s="681">
        <f t="shared" si="15"/>
        <v>19</v>
      </c>
      <c r="F23" s="651">
        <f t="shared" si="13"/>
        <v>2.0767296972346698</v>
      </c>
      <c r="G23" s="684">
        <f t="shared" si="14"/>
        <v>2.1751011039458299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321.10000000000002</v>
      </c>
      <c r="E24" s="682">
        <f t="shared" si="15"/>
        <v>7.4000000000000341</v>
      </c>
      <c r="F24" s="686">
        <f t="shared" si="13"/>
        <v>0.8088315662914014</v>
      </c>
      <c r="G24" s="687">
        <f t="shared" si="14"/>
        <v>1.3662695376544285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3.3561931999999996E-3</v>
      </c>
    </row>
    <row r="25" spans="1:25" ht="21.95" customHeight="1" thickBot="1" x14ac:dyDescent="0.3">
      <c r="A25" s="810"/>
      <c r="B25" s="670" t="s">
        <v>14</v>
      </c>
      <c r="C25" s="689">
        <v>367.5</v>
      </c>
      <c r="D25" s="690">
        <v>380</v>
      </c>
      <c r="E25" s="691">
        <f>D25-C25+(G6-C26)</f>
        <v>12.5</v>
      </c>
      <c r="F25" s="651">
        <f t="shared" si="13"/>
        <v>1.3662695376543881</v>
      </c>
      <c r="G25" s="657">
        <f>G24-F25</f>
        <v>4.0412118096355698E-14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5" ht="21.95" customHeight="1" x14ac:dyDescent="0.2">
      <c r="A26" s="989" t="s">
        <v>40</v>
      </c>
      <c r="B26" s="990"/>
      <c r="C26" s="692">
        <v>916</v>
      </c>
      <c r="D26" s="693" t="s">
        <v>19</v>
      </c>
      <c r="E26" s="694">
        <f>SUM(E12:E25)</f>
        <v>914.90000000000032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1.0999999999996817</v>
      </c>
      <c r="F27" s="700">
        <f>IF((E27/G6*100)&gt;1,"Fehler zu groß",(E27/G6*100))</f>
        <v>0.12008733624450674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2.3884365200000003E-4</v>
      </c>
      <c r="X27" s="551" t="str">
        <f>IF(W22&lt;5.000001,"OK","U größer 5")</f>
        <v>U größer 5</v>
      </c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1.75E-3</v>
      </c>
      <c r="X29" s="554" t="s">
        <v>113</v>
      </c>
      <c r="Y29" s="555"/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</row>
    <row r="32" spans="1:25" ht="21.95" customHeight="1" x14ac:dyDescent="0.35">
      <c r="A32" s="809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</row>
    <row r="33" spans="1:25" ht="21.95" customHeight="1" thickBot="1" x14ac:dyDescent="0.3">
      <c r="A33" s="809" t="s">
        <v>45</v>
      </c>
      <c r="B33" s="809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</row>
    <row r="34" spans="1:25" ht="21.95" customHeight="1" x14ac:dyDescent="0.25">
      <c r="A34" s="809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5" ht="21.95" customHeight="1" x14ac:dyDescent="0.3">
      <c r="A35" s="809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2.5530965999999997E-3</v>
      </c>
      <c r="W36" s="838">
        <v>2.905E-3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6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87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/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455.9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3"/>
        <v>0</v>
      </c>
      <c r="G13" s="669">
        <f t="shared" si="14"/>
        <v>100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66.7</v>
      </c>
      <c r="E14" s="668">
        <f>D14</f>
        <v>66.7</v>
      </c>
      <c r="F14" s="651">
        <f t="shared" si="13"/>
        <v>14.63682247092385</v>
      </c>
      <c r="G14" s="669">
        <f t="shared" si="14"/>
        <v>85.363177529076154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130.1</v>
      </c>
      <c r="E15" s="656">
        <f>D15</f>
        <v>130.1</v>
      </c>
      <c r="F15" s="673">
        <f t="shared" si="13"/>
        <v>28.549484309852964</v>
      </c>
      <c r="G15" s="674">
        <f t="shared" si="14"/>
        <v>56.81369321922319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665.6</v>
      </c>
      <c r="E16" s="678">
        <f>D16-C16</f>
        <v>35.200000000000045</v>
      </c>
      <c r="F16" s="651">
        <f t="shared" si="13"/>
        <v>7.7243800746104974</v>
      </c>
      <c r="G16" s="657">
        <f t="shared" si="14"/>
        <v>49.089313144612689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616.6</v>
      </c>
      <c r="E17" s="681">
        <f t="shared" ref="E17:E24" si="15">D17-C17</f>
        <v>97.300000000000068</v>
      </c>
      <c r="F17" s="651">
        <f t="shared" si="13"/>
        <v>21.351766513056845</v>
      </c>
      <c r="G17" s="669">
        <f t="shared" si="14"/>
        <v>27.737546631555844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563.70000000000005</v>
      </c>
      <c r="E18" s="682">
        <f t="shared" si="15"/>
        <v>57.500000000000057</v>
      </c>
      <c r="F18" s="651">
        <f t="shared" si="13"/>
        <v>12.617950405968848</v>
      </c>
      <c r="G18" s="669">
        <f t="shared" si="14"/>
        <v>15.119596225586996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406.7</v>
      </c>
      <c r="E19" s="681">
        <f t="shared" si="15"/>
        <v>22.899999999999977</v>
      </c>
      <c r="F19" s="651">
        <f t="shared" si="13"/>
        <v>5.0252359008119303</v>
      </c>
      <c r="G19" s="669">
        <f t="shared" si="14"/>
        <v>10.094360324775066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391.1</v>
      </c>
      <c r="E20" s="682">
        <f t="shared" si="15"/>
        <v>14.900000000000034</v>
      </c>
      <c r="F20" s="651">
        <f t="shared" si="13"/>
        <v>3.2696949747641058</v>
      </c>
      <c r="G20" s="669">
        <f t="shared" si="14"/>
        <v>6.8246653500109602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11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338.1</v>
      </c>
      <c r="E21" s="681">
        <f t="shared" si="15"/>
        <v>7.3000000000000114</v>
      </c>
      <c r="F21" s="651">
        <f t="shared" si="13"/>
        <v>1.6019310950186545</v>
      </c>
      <c r="G21" s="669">
        <f t="shared" si="14"/>
        <v>5.2227342549923055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0.95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330.9</v>
      </c>
      <c r="E22" s="682">
        <f t="shared" si="15"/>
        <v>4.7999999999999545</v>
      </c>
      <c r="F22" s="651">
        <f t="shared" si="13"/>
        <v>1.0533245556286928</v>
      </c>
      <c r="G22" s="669">
        <f t="shared" si="14"/>
        <v>4.1694096993636123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11.578947368421053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307.3</v>
      </c>
      <c r="E23" s="681">
        <f t="shared" si="15"/>
        <v>2.9000000000000341</v>
      </c>
      <c r="F23" s="651">
        <f t="shared" si="13"/>
        <v>0.63638358569234865</v>
      </c>
      <c r="G23" s="684">
        <f t="shared" si="14"/>
        <v>3.5330261136712635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314.3</v>
      </c>
      <c r="E24" s="682">
        <f t="shared" si="15"/>
        <v>0.60000000000002274</v>
      </c>
      <c r="F24" s="686">
        <f t="shared" si="13"/>
        <v>0.13166556945359281</v>
      </c>
      <c r="G24" s="687">
        <f t="shared" si="14"/>
        <v>3.4013605442176709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1.0783069999999997E-2</v>
      </c>
    </row>
    <row r="25" spans="1:26" ht="21.95" customHeight="1" thickBot="1" x14ac:dyDescent="0.3">
      <c r="A25" s="730"/>
      <c r="B25" s="670" t="s">
        <v>14</v>
      </c>
      <c r="C25" s="689">
        <v>367.5</v>
      </c>
      <c r="D25" s="690">
        <v>367.9</v>
      </c>
      <c r="E25" s="691">
        <f>D25-C25+(G6-C26)</f>
        <v>15.499999999999943</v>
      </c>
      <c r="F25" s="651">
        <f t="shared" si="13"/>
        <v>3.4013605442176735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440.8</v>
      </c>
      <c r="D26" s="693" t="s">
        <v>19</v>
      </c>
      <c r="E26" s="694">
        <f>SUM(E12:E25)</f>
        <v>455.70000000000016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0.1999999999998181</v>
      </c>
      <c r="F27" s="700">
        <f>IF((E27/G6*100)&gt;1,"Fehler zu groß",(E27/G6*100))</f>
        <v>4.3869269576621656E-2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7.6737769999999988E-4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566" t="str">
        <f>IF(W21&lt;0.61,"OK","ungültig")</f>
        <v>ungültig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733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1.0783069999999997E-2</v>
      </c>
      <c r="W36" s="838">
        <v>2.6090000000000002E-3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7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88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754.6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81</v>
      </c>
      <c r="E13" s="668">
        <f>D13</f>
        <v>81</v>
      </c>
      <c r="F13" s="651">
        <f t="shared" si="13"/>
        <v>10.340865568747603</v>
      </c>
      <c r="G13" s="669">
        <f t="shared" si="14"/>
        <v>89.659134431252397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94</v>
      </c>
      <c r="E14" s="668">
        <f>D14</f>
        <v>94</v>
      </c>
      <c r="F14" s="651">
        <f t="shared" si="13"/>
        <v>12.00051066002808</v>
      </c>
      <c r="G14" s="669">
        <f t="shared" si="14"/>
        <v>77.658623771224313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243.8</v>
      </c>
      <c r="E15" s="656">
        <f>D15</f>
        <v>243.8</v>
      </c>
      <c r="F15" s="673">
        <f t="shared" si="13"/>
        <v>31.124728711860065</v>
      </c>
      <c r="G15" s="674">
        <f t="shared" si="14"/>
        <v>46.533895059364248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672.2</v>
      </c>
      <c r="E16" s="678">
        <f>D16-C16</f>
        <v>41.800000000000068</v>
      </c>
      <c r="F16" s="651">
        <f t="shared" si="13"/>
        <v>5.3363972935018582</v>
      </c>
      <c r="G16" s="657">
        <f t="shared" si="14"/>
        <v>41.197497765862387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618.1</v>
      </c>
      <c r="E17" s="681">
        <f t="shared" ref="E17:E24" si="15">D17-C17</f>
        <v>98.800000000000068</v>
      </c>
      <c r="F17" s="651">
        <f t="shared" si="13"/>
        <v>12.613302693731651</v>
      </c>
      <c r="G17" s="669">
        <f t="shared" si="14"/>
        <v>28.584195072130736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586.6</v>
      </c>
      <c r="E18" s="682">
        <f t="shared" si="15"/>
        <v>80.400000000000034</v>
      </c>
      <c r="F18" s="651">
        <f t="shared" si="13"/>
        <v>10.264266564534662</v>
      </c>
      <c r="G18" s="669">
        <f t="shared" si="14"/>
        <v>18.319928507596074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424.4</v>
      </c>
      <c r="E19" s="681">
        <f t="shared" si="15"/>
        <v>40.599999999999966</v>
      </c>
      <c r="F19" s="651">
        <f t="shared" si="13"/>
        <v>5.183199285075955</v>
      </c>
      <c r="G19" s="669">
        <f t="shared" si="14"/>
        <v>13.13672922252012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401.1</v>
      </c>
      <c r="E20" s="682">
        <f t="shared" si="15"/>
        <v>24.900000000000034</v>
      </c>
      <c r="F20" s="651">
        <f t="shared" si="13"/>
        <v>3.1788586748372301</v>
      </c>
      <c r="G20" s="669">
        <f t="shared" si="14"/>
        <v>9.9578705476828908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13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342.8</v>
      </c>
      <c r="E21" s="681">
        <f t="shared" si="15"/>
        <v>12</v>
      </c>
      <c r="F21" s="651">
        <f t="shared" si="13"/>
        <v>1.531980084258904</v>
      </c>
      <c r="G21" s="669">
        <f t="shared" si="14"/>
        <v>8.4258904634239862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0.63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340.3</v>
      </c>
      <c r="E22" s="682">
        <f t="shared" si="15"/>
        <v>14.199999999999989</v>
      </c>
      <c r="F22" s="651">
        <f t="shared" si="13"/>
        <v>1.8128430997063683</v>
      </c>
      <c r="G22" s="669">
        <f t="shared" si="14"/>
        <v>6.6130473637176177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20.634920634920636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315.60000000000002</v>
      </c>
      <c r="E23" s="681">
        <f t="shared" si="15"/>
        <v>11.200000000000045</v>
      </c>
      <c r="F23" s="651">
        <f t="shared" si="13"/>
        <v>1.4298480786416496</v>
      </c>
      <c r="G23" s="684">
        <f t="shared" si="14"/>
        <v>5.1831992850759683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318.39999999999998</v>
      </c>
      <c r="E24" s="682">
        <f t="shared" si="15"/>
        <v>4.6999999999999886</v>
      </c>
      <c r="F24" s="686">
        <f t="shared" si="13"/>
        <v>0.6000255330014026</v>
      </c>
      <c r="G24" s="687">
        <f t="shared" si="14"/>
        <v>4.5831737520745657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4.7421611999999991E-3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403.4</v>
      </c>
      <c r="E25" s="691">
        <f>D25-C25</f>
        <v>35.899999999999977</v>
      </c>
      <c r="F25" s="651">
        <f t="shared" si="13"/>
        <v>4.5831737520745524</v>
      </c>
      <c r="G25" s="657">
        <f>G24-F25</f>
        <v>1.3322676295501878E-14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754.6</v>
      </c>
      <c r="D26" s="693" t="s">
        <v>19</v>
      </c>
      <c r="E26" s="694">
        <f>SUM(E12:E25)</f>
        <v>783.3000000000003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-28.700000000000273</v>
      </c>
      <c r="F27" s="700">
        <f>IF((E27/G6*100)&gt;1,"Fehler zu groß",(E27/G6*100))</f>
        <v>-3.8033395176252678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3.3747613200000003E-4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333" t="str">
        <f>IF(W21&lt;0.61,"OK","ungültig")</f>
        <v>ungültig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20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20" t="s">
        <v>45</v>
      </c>
      <c r="B33" s="720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20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20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(W24)</f>
        <v>4.7421611999999991E-3</v>
      </c>
      <c r="W36" s="839">
        <v>1.42E-3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8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89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1040.0999999999999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97.4</v>
      </c>
      <c r="E13" s="668">
        <f>D13</f>
        <v>97.4</v>
      </c>
      <c r="F13" s="651">
        <f t="shared" si="13"/>
        <v>9.3951962959390407</v>
      </c>
      <c r="G13" s="669">
        <f t="shared" si="14"/>
        <v>90.604803704060956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284.39999999999998</v>
      </c>
      <c r="E14" s="668">
        <f>D14</f>
        <v>284.39999999999998</v>
      </c>
      <c r="F14" s="651">
        <f t="shared" si="13"/>
        <v>27.433201504774768</v>
      </c>
      <c r="G14" s="669">
        <f t="shared" si="14"/>
        <v>63.171602199286184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249.5</v>
      </c>
      <c r="E15" s="656">
        <f>D15</f>
        <v>249.5</v>
      </c>
      <c r="F15" s="673">
        <f t="shared" si="13"/>
        <v>24.066750265264787</v>
      </c>
      <c r="G15" s="674">
        <f t="shared" si="14"/>
        <v>39.104851934021397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666.8</v>
      </c>
      <c r="E16" s="678">
        <f>D16-C16</f>
        <v>36.399999999999977</v>
      </c>
      <c r="F16" s="651">
        <f t="shared" si="13"/>
        <v>3.5111411208642793</v>
      </c>
      <c r="G16" s="657">
        <f t="shared" si="14"/>
        <v>35.593710813157116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613.5</v>
      </c>
      <c r="E17" s="681">
        <f t="shared" ref="E17:E24" si="15">D17-C17</f>
        <v>94.200000000000045</v>
      </c>
      <c r="F17" s="651">
        <f t="shared" si="13"/>
        <v>9.0865245490498765</v>
      </c>
      <c r="G17" s="669">
        <f t="shared" si="14"/>
        <v>26.50718626410724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599.5</v>
      </c>
      <c r="E18" s="682">
        <f t="shared" si="15"/>
        <v>93.300000000000011</v>
      </c>
      <c r="F18" s="651">
        <f t="shared" si="13"/>
        <v>8.9997106202372947</v>
      </c>
      <c r="G18" s="669">
        <f t="shared" si="14"/>
        <v>17.507475643869945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442.6</v>
      </c>
      <c r="E19" s="681">
        <f t="shared" si="15"/>
        <v>58.800000000000011</v>
      </c>
      <c r="F19" s="651">
        <f t="shared" si="13"/>
        <v>5.6718433490884559</v>
      </c>
      <c r="G19" s="669">
        <f t="shared" si="14"/>
        <v>11.83563229478149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418.5</v>
      </c>
      <c r="E20" s="682">
        <f t="shared" si="15"/>
        <v>42.300000000000011</v>
      </c>
      <c r="F20" s="651">
        <f t="shared" si="13"/>
        <v>4.0802546541911848</v>
      </c>
      <c r="G20" s="669">
        <f t="shared" si="14"/>
        <v>7.7553776405903054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18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353.4</v>
      </c>
      <c r="E21" s="681">
        <f t="shared" si="15"/>
        <v>22.599999999999966</v>
      </c>
      <c r="F21" s="651">
        <f t="shared" si="13"/>
        <v>2.1799942124047429</v>
      </c>
      <c r="G21" s="669">
        <f t="shared" si="14"/>
        <v>5.5753834281855621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0.81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348.5</v>
      </c>
      <c r="E22" s="682">
        <f t="shared" si="15"/>
        <v>22.399999999999977</v>
      </c>
      <c r="F22" s="651">
        <f t="shared" si="13"/>
        <v>2.1607022282241708</v>
      </c>
      <c r="G22" s="669">
        <f t="shared" si="14"/>
        <v>3.4146811999613913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22.222222222222221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319.8</v>
      </c>
      <c r="E23" s="681">
        <f t="shared" si="15"/>
        <v>15.400000000000034</v>
      </c>
      <c r="F23" s="651">
        <f t="shared" si="13"/>
        <v>1.4854827819041225</v>
      </c>
      <c r="G23" s="684">
        <f t="shared" si="14"/>
        <v>1.9291984180572688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318.5</v>
      </c>
      <c r="E24" s="682">
        <f t="shared" si="15"/>
        <v>4.8000000000000114</v>
      </c>
      <c r="F24" s="686">
        <f t="shared" si="13"/>
        <v>0.46300762033375253</v>
      </c>
      <c r="G24" s="687">
        <f t="shared" si="14"/>
        <v>1.4661907977235162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7.8390827999999992E-3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382.7</v>
      </c>
      <c r="E25" s="691">
        <f>D25-C25</f>
        <v>15.199999999999989</v>
      </c>
      <c r="F25" s="651">
        <f t="shared" si="13"/>
        <v>1.4661907977235451</v>
      </c>
      <c r="G25" s="657">
        <f>G24-F25</f>
        <v>-2.886579864025407E-14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1040.0999999999999</v>
      </c>
      <c r="D26" s="693" t="s">
        <v>19</v>
      </c>
      <c r="E26" s="694">
        <f>SUM(E12:E25)</f>
        <v>1036.6999999999998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3.4000000000000909</v>
      </c>
      <c r="F27" s="700">
        <f>IF((E27/G6*100)&gt;1,"Fehler zu groß",(E27/G6*100))</f>
        <v>0.32689164503414009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5.5786870800000009E-4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333" t="str">
        <f>IF(W21&lt;0.61,"OK","ungültig")</f>
        <v>ungültig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12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12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(W24)</f>
        <v>7.8390827999999992E-3</v>
      </c>
      <c r="W36" s="839">
        <v>4.5779999999999996E-3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9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90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920.5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121</v>
      </c>
      <c r="E12" s="656">
        <f>D12</f>
        <v>121</v>
      </c>
      <c r="F12" s="651">
        <f>E12/$E$26*100</f>
        <v>13.203841117415976</v>
      </c>
      <c r="G12" s="657">
        <f t="shared" ref="G12:G24" si="14">G11-F12</f>
        <v>86.796158882584024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24.6</v>
      </c>
      <c r="E13" s="668">
        <f>D13</f>
        <v>24.6</v>
      </c>
      <c r="F13" s="651">
        <f t="shared" si="13"/>
        <v>2.6844172850283723</v>
      </c>
      <c r="G13" s="669">
        <f t="shared" si="14"/>
        <v>84.11174159755565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101.6</v>
      </c>
      <c r="E14" s="668">
        <f>D14</f>
        <v>101.6</v>
      </c>
      <c r="F14" s="651">
        <f t="shared" si="13"/>
        <v>11.086861632474902</v>
      </c>
      <c r="G14" s="669">
        <f t="shared" si="14"/>
        <v>73.024879965080743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216.7</v>
      </c>
      <c r="E15" s="656">
        <f>D15</f>
        <v>216.7</v>
      </c>
      <c r="F15" s="673">
        <f t="shared" si="13"/>
        <v>23.646879092099521</v>
      </c>
      <c r="G15" s="674">
        <f t="shared" si="14"/>
        <v>49.378000872981218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668.3</v>
      </c>
      <c r="E16" s="678">
        <f>D16-C16</f>
        <v>37.899999999999977</v>
      </c>
      <c r="F16" s="651">
        <f t="shared" si="13"/>
        <v>4.1357485814054984</v>
      </c>
      <c r="G16" s="657">
        <f t="shared" si="14"/>
        <v>45.242252291575717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600.79999999999995</v>
      </c>
      <c r="E17" s="681">
        <f t="shared" ref="E17:E24" si="15">D17-C17</f>
        <v>81.5</v>
      </c>
      <c r="F17" s="651">
        <f t="shared" si="13"/>
        <v>8.8934962898297698</v>
      </c>
      <c r="G17" s="669">
        <f t="shared" si="14"/>
        <v>36.348756001745947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603.9</v>
      </c>
      <c r="E18" s="682">
        <f t="shared" si="15"/>
        <v>97.699999999999989</v>
      </c>
      <c r="F18" s="651">
        <f t="shared" si="13"/>
        <v>10.661283282409428</v>
      </c>
      <c r="G18" s="669">
        <f t="shared" si="14"/>
        <v>25.687472719336519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443.3</v>
      </c>
      <c r="E19" s="681">
        <f t="shared" si="15"/>
        <v>59.5</v>
      </c>
      <c r="F19" s="651">
        <f t="shared" si="13"/>
        <v>6.4927979048450464</v>
      </c>
      <c r="G19" s="669">
        <f t="shared" si="14"/>
        <v>19.194674814491471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431.4</v>
      </c>
      <c r="E20" s="682">
        <f t="shared" si="15"/>
        <v>55.199999999999989</v>
      </c>
      <c r="F20" s="651">
        <f t="shared" si="13"/>
        <v>6.023570493234395</v>
      </c>
      <c r="G20" s="669">
        <f t="shared" si="14"/>
        <v>13.171104321257076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13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364.4</v>
      </c>
      <c r="E21" s="681">
        <f t="shared" si="15"/>
        <v>33.599999999999966</v>
      </c>
      <c r="F21" s="651">
        <f t="shared" si="13"/>
        <v>3.6665211697948461</v>
      </c>
      <c r="G21" s="669">
        <f t="shared" si="14"/>
        <v>9.5045831514622297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0.42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355.7</v>
      </c>
      <c r="E22" s="682">
        <f t="shared" si="15"/>
        <v>29.599999999999966</v>
      </c>
      <c r="F22" s="651">
        <f t="shared" si="13"/>
        <v>3.2300305543430783</v>
      </c>
      <c r="G22" s="669">
        <f t="shared" si="14"/>
        <v>6.2745525971191514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30.952380952380953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314.10000000000002</v>
      </c>
      <c r="E23" s="681">
        <f t="shared" si="15"/>
        <v>9.7000000000000455</v>
      </c>
      <c r="F23" s="651">
        <f t="shared" si="13"/>
        <v>1.0584897424705419</v>
      </c>
      <c r="G23" s="684">
        <f t="shared" si="14"/>
        <v>5.2160628546486096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345.7</v>
      </c>
      <c r="E24" s="682">
        <f t="shared" si="15"/>
        <v>32</v>
      </c>
      <c r="F24" s="686">
        <f t="shared" si="13"/>
        <v>3.4919249236141425</v>
      </c>
      <c r="G24" s="687">
        <f t="shared" si="14"/>
        <v>1.7241379310344671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2.1076271999999991E-3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383.3</v>
      </c>
      <c r="E25" s="691">
        <f>D25-C25</f>
        <v>15.800000000000011</v>
      </c>
      <c r="F25" s="651">
        <f t="shared" si="13"/>
        <v>1.7241379310344842</v>
      </c>
      <c r="G25" s="657">
        <f>G24-F25</f>
        <v>-1.7097434579227411E-14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920.5</v>
      </c>
      <c r="D26" s="693" t="s">
        <v>19</v>
      </c>
      <c r="E26" s="694">
        <f>SUM(E12:E25)</f>
        <v>916.39999999999986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4.1000000000001364</v>
      </c>
      <c r="F27" s="700">
        <f>IF((E27/G6*100)&gt;1,"Fehler zu groß",(E27/G6*100))</f>
        <v>0.44541010320479485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1.4998939199999995E-4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1.1999999999999999E-3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12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12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1.6538135999999994E-3</v>
      </c>
      <c r="W36" s="839">
        <v>1.382E-3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0"/>
  <dimension ref="A1:Z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91</v>
      </c>
      <c r="D3" s="118" t="s">
        <v>25</v>
      </c>
      <c r="E3" s="121" t="s">
        <v>134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793.4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79.2</v>
      </c>
      <c r="E13" s="181">
        <f>D13</f>
        <v>79.2</v>
      </c>
      <c r="F13" s="170">
        <f t="shared" si="5"/>
        <v>9.987389659520808</v>
      </c>
      <c r="G13" s="182">
        <f t="shared" si="6"/>
        <v>90.012610340479199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87.2</v>
      </c>
      <c r="E14" s="181">
        <f>D14</f>
        <v>87.2</v>
      </c>
      <c r="F14" s="170">
        <f t="shared" si="5"/>
        <v>10.996216897856243</v>
      </c>
      <c r="G14" s="182">
        <f t="shared" si="6"/>
        <v>79.016393442622956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189.4</v>
      </c>
      <c r="E15" s="175">
        <f>D15</f>
        <v>189.4</v>
      </c>
      <c r="F15" s="194">
        <f t="shared" si="5"/>
        <v>23.883984867591426</v>
      </c>
      <c r="G15" s="195">
        <f t="shared" si="6"/>
        <v>55.132408575031533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681.8</v>
      </c>
      <c r="E16" s="202">
        <f>D16-C16</f>
        <v>51.399999999999977</v>
      </c>
      <c r="F16" s="170">
        <f t="shared" si="5"/>
        <v>6.4817150063051683</v>
      </c>
      <c r="G16" s="176">
        <f t="shared" si="6"/>
        <v>48.650693568726368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623.1</v>
      </c>
      <c r="E17" s="208">
        <f t="shared" ref="E17:E24" si="7">D17-C17</f>
        <v>103.80000000000007</v>
      </c>
      <c r="F17" s="170">
        <f t="shared" si="5"/>
        <v>13.089533417402279</v>
      </c>
      <c r="G17" s="182">
        <f t="shared" si="6"/>
        <v>35.561160151324088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613.6</v>
      </c>
      <c r="E18" s="209">
        <f t="shared" si="7"/>
        <v>107.40000000000003</v>
      </c>
      <c r="F18" s="170">
        <f t="shared" si="5"/>
        <v>13.54350567465322</v>
      </c>
      <c r="G18" s="182">
        <f t="shared" si="6"/>
        <v>22.01765447667087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440</v>
      </c>
      <c r="E19" s="208">
        <f t="shared" si="7"/>
        <v>56.199999999999989</v>
      </c>
      <c r="F19" s="170">
        <f t="shared" si="5"/>
        <v>7.0870113493064295</v>
      </c>
      <c r="G19" s="182">
        <f t="shared" si="6"/>
        <v>14.930643127364441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417</v>
      </c>
      <c r="E20" s="209">
        <f t="shared" si="7"/>
        <v>40.800000000000011</v>
      </c>
      <c r="F20" s="170">
        <f t="shared" si="5"/>
        <v>5.1450189155107209</v>
      </c>
      <c r="G20" s="182">
        <f t="shared" si="6"/>
        <v>9.7856242118537189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11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354.3</v>
      </c>
      <c r="E21" s="208">
        <f t="shared" si="7"/>
        <v>23.5</v>
      </c>
      <c r="F21" s="170">
        <f t="shared" si="5"/>
        <v>2.9634300126103406</v>
      </c>
      <c r="G21" s="182">
        <f t="shared" si="6"/>
        <v>6.8221941992433788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0.63500000000000001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345.8</v>
      </c>
      <c r="E22" s="209">
        <f t="shared" si="7"/>
        <v>19.699999999999989</v>
      </c>
      <c r="F22" s="170">
        <f t="shared" si="5"/>
        <v>2.4842370744010074</v>
      </c>
      <c r="G22" s="182">
        <f t="shared" si="6"/>
        <v>4.3379571248423714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17.322834645669293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320.7</v>
      </c>
      <c r="E23" s="208">
        <f t="shared" si="7"/>
        <v>16.300000000000011</v>
      </c>
      <c r="F23" s="170">
        <f t="shared" si="5"/>
        <v>2.0554854981084505</v>
      </c>
      <c r="G23" s="211">
        <f t="shared" si="6"/>
        <v>2.2824716267339209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317.5</v>
      </c>
      <c r="E24" s="209">
        <f t="shared" si="7"/>
        <v>3.8000000000000114</v>
      </c>
      <c r="F24" s="213">
        <f t="shared" si="5"/>
        <v>0.47919293820933312</v>
      </c>
      <c r="G24" s="214">
        <f t="shared" si="6"/>
        <v>1.8032786885245877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4.8177322999999987E-3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368.3</v>
      </c>
      <c r="E25" s="218">
        <f>D25-C25+(G6-C26)</f>
        <v>14.300000000000011</v>
      </c>
      <c r="F25" s="170">
        <f t="shared" si="5"/>
        <v>1.8032786885245917</v>
      </c>
      <c r="G25" s="176">
        <f>G24-F25</f>
        <v>-3.9968028886505635E-15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779.9</v>
      </c>
      <c r="D26" s="260" t="s">
        <v>19</v>
      </c>
      <c r="E26" s="221">
        <f>SUM(E12:E25)</f>
        <v>793</v>
      </c>
      <c r="F26" s="305">
        <f>SUM(F12:F25)</f>
        <v>100.00000000000003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0.39999999999997726</v>
      </c>
      <c r="F27" s="310">
        <f>IF((E27/G6*100)&gt;1,"Fehler zu groß",(E27/G6*100))</f>
        <v>5.0415931434330388E-2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3.4285415299999995E-4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333" t="str">
        <f>IF(W21&lt;0.61,"OK","ungültig")</f>
        <v>ungültig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(W24)</f>
        <v>4.8177322999999987E-3</v>
      </c>
      <c r="W36" s="839">
        <v>2.3630000000000001E-3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1"/>
  <dimension ref="A1:AE36"/>
  <sheetViews>
    <sheetView topLeftCell="A13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92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1328.3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90.7</v>
      </c>
      <c r="E12" s="656">
        <f>D12</f>
        <v>90.7</v>
      </c>
      <c r="F12" s="651">
        <f t="shared" si="13"/>
        <v>6.809820557098881</v>
      </c>
      <c r="G12" s="657">
        <f t="shared" ref="G12:G24" si="14">G11-F12</f>
        <v>93.190179442901126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107</v>
      </c>
      <c r="E13" s="668">
        <f>D13</f>
        <v>107</v>
      </c>
      <c r="F13" s="651">
        <f t="shared" si="13"/>
        <v>8.0336361588707863</v>
      </c>
      <c r="G13" s="669">
        <f t="shared" si="14"/>
        <v>85.156543284030334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65.5</v>
      </c>
      <c r="E14" s="668">
        <f>D14</f>
        <v>65.5</v>
      </c>
      <c r="F14" s="651">
        <f t="shared" si="13"/>
        <v>4.9177866206171625</v>
      </c>
      <c r="G14" s="669">
        <f t="shared" si="14"/>
        <v>80.23875666341317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292.39999999999998</v>
      </c>
      <c r="E15" s="656">
        <f>D15</f>
        <v>292.39999999999998</v>
      </c>
      <c r="F15" s="673">
        <f t="shared" si="13"/>
        <v>21.953600120129135</v>
      </c>
      <c r="G15" s="674">
        <f t="shared" si="14"/>
        <v>58.285156543284032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699.8</v>
      </c>
      <c r="E16" s="678">
        <f>D16-C16</f>
        <v>69.399999999999977</v>
      </c>
      <c r="F16" s="651">
        <f t="shared" si="13"/>
        <v>5.2106013965012368</v>
      </c>
      <c r="G16" s="657">
        <f t="shared" si="14"/>
        <v>53.074555146782792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710.4</v>
      </c>
      <c r="E17" s="681">
        <f t="shared" ref="E17:E24" si="15">D17-C17</f>
        <v>191.10000000000002</v>
      </c>
      <c r="F17" s="651">
        <f t="shared" si="13"/>
        <v>14.347924018319693</v>
      </c>
      <c r="G17" s="669">
        <f t="shared" si="14"/>
        <v>38.726631128463097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724.1</v>
      </c>
      <c r="E18" s="682">
        <f t="shared" si="15"/>
        <v>217.90000000000003</v>
      </c>
      <c r="F18" s="651">
        <f t="shared" si="13"/>
        <v>16.360087093625651</v>
      </c>
      <c r="G18" s="669">
        <f t="shared" si="14"/>
        <v>22.366544034837446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474.2</v>
      </c>
      <c r="E19" s="681">
        <f t="shared" si="15"/>
        <v>90.399999999999977</v>
      </c>
      <c r="F19" s="651">
        <f t="shared" si="13"/>
        <v>6.7872963435693352</v>
      </c>
      <c r="G19" s="669">
        <f t="shared" si="14"/>
        <v>15.579247691268112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441.9</v>
      </c>
      <c r="E20" s="682">
        <f t="shared" si="15"/>
        <v>65.699999999999989</v>
      </c>
      <c r="F20" s="651">
        <f t="shared" si="13"/>
        <v>4.9328027629701916</v>
      </c>
      <c r="G20" s="669">
        <f t="shared" si="14"/>
        <v>10.646444928297921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10.818199999999999</v>
      </c>
      <c r="X20" s="116" t="s">
        <v>341</v>
      </c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367.1</v>
      </c>
      <c r="E21" s="681">
        <f t="shared" si="15"/>
        <v>36.300000000000011</v>
      </c>
      <c r="F21" s="651">
        <f t="shared" si="13"/>
        <v>2.7254298370748562</v>
      </c>
      <c r="G21" s="669">
        <f t="shared" si="14"/>
        <v>7.9210150912230652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0.57889999999999997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371</v>
      </c>
      <c r="E22" s="682">
        <f t="shared" si="15"/>
        <v>44.899999999999977</v>
      </c>
      <c r="F22" s="651">
        <f t="shared" si="13"/>
        <v>3.3711239582551227</v>
      </c>
      <c r="G22" s="669">
        <f t="shared" si="14"/>
        <v>4.549891132967943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18.687510796337882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309.5</v>
      </c>
      <c r="E23" s="681">
        <f t="shared" si="15"/>
        <v>5.1000000000000227</v>
      </c>
      <c r="F23" s="651">
        <f t="shared" si="13"/>
        <v>0.38291163000225409</v>
      </c>
      <c r="G23" s="684">
        <f t="shared" si="14"/>
        <v>4.1669795029656891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349.9</v>
      </c>
      <c r="E24" s="682">
        <f t="shared" si="15"/>
        <v>36.199999999999989</v>
      </c>
      <c r="F24" s="686">
        <f t="shared" si="13"/>
        <v>2.7179217658983399</v>
      </c>
      <c r="G24" s="687">
        <f t="shared" si="14"/>
        <v>1.4490577370673492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4.0040760090799985E-3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386.8</v>
      </c>
      <c r="E25" s="691">
        <f>D25-C25</f>
        <v>19.300000000000011</v>
      </c>
      <c r="F25" s="651">
        <f t="shared" si="13"/>
        <v>1.4490577370673481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1328.3</v>
      </c>
      <c r="D26" s="693" t="s">
        <v>19</v>
      </c>
      <c r="E26" s="694">
        <f>SUM(E12:E25)</f>
        <v>1331.9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-3.6000000000001364</v>
      </c>
      <c r="F27" s="700">
        <f>IF((E27/G6*100)&gt;1,"Fehler zu groß",(E27/G6*100))</f>
        <v>-0.27102311224874931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2.8495026355879996E-4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2.0999999999999999E-3</v>
      </c>
      <c r="X29" s="286" t="s">
        <v>113</v>
      </c>
      <c r="Y29" s="287">
        <v>1.8500000000000001E-3</v>
      </c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12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12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2.9270380045399993E-3</v>
      </c>
      <c r="W36" s="839">
        <v>3.0820000000000001E-3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2"/>
  <dimension ref="A1:AE36"/>
  <sheetViews>
    <sheetView topLeftCell="A15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93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1119.5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76.5</v>
      </c>
      <c r="E12" s="656">
        <f>D12</f>
        <v>76.5</v>
      </c>
      <c r="F12" s="651">
        <f t="shared" si="13"/>
        <v>6.8358502367974268</v>
      </c>
      <c r="G12" s="657">
        <f t="shared" ref="G12:G24" si="14">G11-F12</f>
        <v>93.164149763202573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174.5</v>
      </c>
      <c r="E13" s="668">
        <f>D13</f>
        <v>174.5</v>
      </c>
      <c r="F13" s="651">
        <f t="shared" si="13"/>
        <v>15.592887141452955</v>
      </c>
      <c r="G13" s="669">
        <f t="shared" si="14"/>
        <v>77.571262621749611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21.6</v>
      </c>
      <c r="E14" s="668">
        <f>D14</f>
        <v>21.6</v>
      </c>
      <c r="F14" s="651">
        <f t="shared" si="13"/>
        <v>1.9301224198016265</v>
      </c>
      <c r="G14" s="669">
        <f t="shared" si="14"/>
        <v>75.641140201947991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283.10000000000002</v>
      </c>
      <c r="E15" s="656">
        <f>D15</f>
        <v>283.10000000000002</v>
      </c>
      <c r="F15" s="673">
        <f t="shared" si="13"/>
        <v>25.297113752122247</v>
      </c>
      <c r="G15" s="674">
        <f t="shared" si="14"/>
        <v>50.344026449825748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690.7</v>
      </c>
      <c r="E16" s="678">
        <f>D16-C16</f>
        <v>60.300000000000068</v>
      </c>
      <c r="F16" s="651">
        <f t="shared" si="13"/>
        <v>5.3882584219462135</v>
      </c>
      <c r="G16" s="657">
        <f t="shared" si="14"/>
        <v>44.955768027879536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667.4</v>
      </c>
      <c r="E17" s="681">
        <f t="shared" ref="E17:E24" si="15">D17-C17</f>
        <v>148.10000000000002</v>
      </c>
      <c r="F17" s="651">
        <f t="shared" si="13"/>
        <v>13.233848628362081</v>
      </c>
      <c r="G17" s="669">
        <f t="shared" si="14"/>
        <v>31.721919399517454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656.2</v>
      </c>
      <c r="E18" s="682">
        <f t="shared" si="15"/>
        <v>150.00000000000006</v>
      </c>
      <c r="F18" s="651">
        <f t="shared" si="13"/>
        <v>13.403627915289077</v>
      </c>
      <c r="G18" s="669">
        <f t="shared" si="14"/>
        <v>18.318291484228375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458.3</v>
      </c>
      <c r="E19" s="681">
        <f t="shared" si="15"/>
        <v>74.5</v>
      </c>
      <c r="F19" s="651">
        <f t="shared" si="13"/>
        <v>6.6571351979269053</v>
      </c>
      <c r="G19" s="669">
        <f t="shared" si="14"/>
        <v>11.66115628630147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428.5</v>
      </c>
      <c r="E20" s="682">
        <f t="shared" si="15"/>
        <v>52.300000000000011</v>
      </c>
      <c r="F20" s="651">
        <f t="shared" si="13"/>
        <v>4.6733982664641243</v>
      </c>
      <c r="G20" s="669">
        <f t="shared" si="14"/>
        <v>6.9877580198373455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12.5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358.4</v>
      </c>
      <c r="E21" s="681">
        <f t="shared" si="15"/>
        <v>27.599999999999966</v>
      </c>
      <c r="F21" s="651">
        <f t="shared" si="13"/>
        <v>2.4662675364131861</v>
      </c>
      <c r="G21" s="669">
        <f t="shared" si="14"/>
        <v>4.5214904834241594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0.83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347.6</v>
      </c>
      <c r="E22" s="682">
        <f t="shared" si="15"/>
        <v>21.5</v>
      </c>
      <c r="F22" s="651">
        <f t="shared" si="13"/>
        <v>1.9211866678581004</v>
      </c>
      <c r="G22" s="669">
        <f t="shared" si="14"/>
        <v>2.6003038155660589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15.060240963855422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320</v>
      </c>
      <c r="E23" s="681">
        <f t="shared" si="15"/>
        <v>15.600000000000023</v>
      </c>
      <c r="F23" s="651">
        <f t="shared" si="13"/>
        <v>1.3939773031900657</v>
      </c>
      <c r="G23" s="684">
        <f t="shared" si="14"/>
        <v>1.2063265123759932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316.7</v>
      </c>
      <c r="E24" s="682">
        <f t="shared" si="15"/>
        <v>3</v>
      </c>
      <c r="F24" s="686">
        <f t="shared" si="13"/>
        <v>0.26807255830578142</v>
      </c>
      <c r="G24" s="687">
        <f t="shared" si="14"/>
        <v>0.93825395407021173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8.2309771999999962E-3</v>
      </c>
      <c r="X24" s="116"/>
      <c r="Y24" s="116"/>
      <c r="Z24" s="116"/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378</v>
      </c>
      <c r="E25" s="691">
        <f>D25-C25</f>
        <v>10.5</v>
      </c>
      <c r="F25" s="651">
        <f t="shared" si="13"/>
        <v>0.93825395407023515</v>
      </c>
      <c r="G25" s="657">
        <f>G24-F25</f>
        <v>-2.3425705819590803E-14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1119.5</v>
      </c>
      <c r="D26" s="693" t="s">
        <v>19</v>
      </c>
      <c r="E26" s="694">
        <f>SUM(E12:E25)</f>
        <v>1119.0999999999999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0.40000000000009095</v>
      </c>
      <c r="F27" s="700">
        <f>IF((E27/G6*100)&gt;1,"Fehler zu groß",(E27/G6*100))</f>
        <v>3.5730236712826352E-2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5.8575789199999991E-4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333" t="str">
        <f>IF(W21&lt;0.61,"OK","ungültig")</f>
        <v>ungültig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12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12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(W24)</f>
        <v>8.2309771999999962E-3</v>
      </c>
      <c r="W36" s="839">
        <v>5.2589999999999998E-3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3"/>
  <dimension ref="A1:AE36"/>
  <sheetViews>
    <sheetView topLeftCell="A12" zoomScale="110" zoomScaleNormal="11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94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700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118.1</v>
      </c>
      <c r="E13" s="668">
        <f>D13</f>
        <v>118.1</v>
      </c>
      <c r="F13" s="651">
        <f t="shared" si="13"/>
        <v>16.914924090518472</v>
      </c>
      <c r="G13" s="669">
        <f t="shared" si="14"/>
        <v>83.085075909481532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114.7</v>
      </c>
      <c r="E14" s="668">
        <f>D14</f>
        <v>114.7</v>
      </c>
      <c r="F14" s="651">
        <f t="shared" si="13"/>
        <v>16.427957605270691</v>
      </c>
      <c r="G14" s="669">
        <f t="shared" si="14"/>
        <v>66.65711830421084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76.8</v>
      </c>
      <c r="E15" s="656">
        <f>D15</f>
        <v>76.8</v>
      </c>
      <c r="F15" s="673">
        <f t="shared" si="13"/>
        <v>10.999713549126323</v>
      </c>
      <c r="G15" s="674">
        <f t="shared" si="14"/>
        <v>55.657404755084514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  <c r="AB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648.29999999999995</v>
      </c>
      <c r="E16" s="678">
        <f>D16-C16</f>
        <v>17.899999999999977</v>
      </c>
      <c r="F16" s="651">
        <f t="shared" si="13"/>
        <v>2.5637353193927201</v>
      </c>
      <c r="G16" s="657">
        <f t="shared" si="14"/>
        <v>53.093669435691794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  <c r="AB16" s="116"/>
    </row>
    <row r="17" spans="1:28" ht="22.5" customHeight="1" thickBot="1" x14ac:dyDescent="0.25">
      <c r="A17" s="986"/>
      <c r="B17" s="679">
        <v>4</v>
      </c>
      <c r="C17" s="666">
        <v>519.29999999999995</v>
      </c>
      <c r="D17" s="680">
        <v>549.5</v>
      </c>
      <c r="E17" s="681">
        <f t="shared" ref="E17:E24" si="15">D17-C17</f>
        <v>30.200000000000045</v>
      </c>
      <c r="F17" s="651">
        <f t="shared" si="13"/>
        <v>4.3254081924949928</v>
      </c>
      <c r="G17" s="669">
        <f t="shared" si="14"/>
        <v>48.768261243196804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  <c r="AB17" s="116"/>
    </row>
    <row r="18" spans="1:28" ht="21.95" customHeight="1" x14ac:dyDescent="0.2">
      <c r="A18" s="986"/>
      <c r="B18" s="679">
        <v>2</v>
      </c>
      <c r="C18" s="666">
        <v>506.2</v>
      </c>
      <c r="D18" s="680">
        <v>556.1</v>
      </c>
      <c r="E18" s="682">
        <f t="shared" si="15"/>
        <v>49.900000000000034</v>
      </c>
      <c r="F18" s="651">
        <f t="shared" si="13"/>
        <v>7.1469492981953628</v>
      </c>
      <c r="G18" s="669">
        <f t="shared" si="14"/>
        <v>41.621311945001437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  <c r="AB18" s="116"/>
    </row>
    <row r="19" spans="1:28" ht="21.95" customHeight="1" x14ac:dyDescent="0.2">
      <c r="A19" s="986"/>
      <c r="B19" s="679">
        <v>1</v>
      </c>
      <c r="C19" s="666">
        <v>383.8</v>
      </c>
      <c r="D19" s="680">
        <v>441.2</v>
      </c>
      <c r="E19" s="681">
        <f t="shared" si="15"/>
        <v>57.399999999999977</v>
      </c>
      <c r="F19" s="651">
        <f t="shared" si="13"/>
        <v>8.2211400744772227</v>
      </c>
      <c r="G19" s="669">
        <f t="shared" si="14"/>
        <v>33.400171870524218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  <c r="AB19" s="116"/>
    </row>
    <row r="20" spans="1:28" ht="21.95" customHeight="1" x14ac:dyDescent="0.2">
      <c r="A20" s="986"/>
      <c r="B20" s="665">
        <v>0.63</v>
      </c>
      <c r="C20" s="666">
        <v>376.2</v>
      </c>
      <c r="D20" s="680">
        <v>442</v>
      </c>
      <c r="E20" s="682">
        <f t="shared" si="15"/>
        <v>65.800000000000011</v>
      </c>
      <c r="F20" s="651">
        <f t="shared" si="13"/>
        <v>9.424233743912918</v>
      </c>
      <c r="G20" s="669">
        <f t="shared" si="14"/>
        <v>23.9759381266113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12</v>
      </c>
      <c r="X20" s="116"/>
      <c r="Y20" s="116"/>
      <c r="Z20" s="116"/>
      <c r="AB20" s="116"/>
    </row>
    <row r="21" spans="1:28" ht="21.95" customHeight="1" thickBot="1" x14ac:dyDescent="0.25">
      <c r="A21" s="986"/>
      <c r="B21" s="683">
        <v>0.4</v>
      </c>
      <c r="C21" s="666">
        <v>330.8</v>
      </c>
      <c r="D21" s="680">
        <v>372.4</v>
      </c>
      <c r="E21" s="681">
        <f t="shared" si="15"/>
        <v>41.599999999999966</v>
      </c>
      <c r="F21" s="651">
        <f t="shared" si="13"/>
        <v>5.9581781724434197</v>
      </c>
      <c r="G21" s="669">
        <f t="shared" si="14"/>
        <v>18.017759954167879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0.18</v>
      </c>
      <c r="X21" s="116"/>
      <c r="Y21" s="116"/>
      <c r="Z21" s="116"/>
      <c r="AB21" s="116"/>
    </row>
    <row r="22" spans="1:28" ht="21.95" customHeight="1" thickBot="1" x14ac:dyDescent="0.3">
      <c r="A22" s="986"/>
      <c r="B22" s="683">
        <v>0.2</v>
      </c>
      <c r="C22" s="666">
        <v>326.10000000000002</v>
      </c>
      <c r="D22" s="680">
        <v>373.3</v>
      </c>
      <c r="E22" s="682">
        <f t="shared" si="15"/>
        <v>47.199999999999989</v>
      </c>
      <c r="F22" s="651">
        <f t="shared" si="13"/>
        <v>6.7602406187338842</v>
      </c>
      <c r="G22" s="669">
        <f t="shared" si="14"/>
        <v>11.257519335433994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66.666666666666671</v>
      </c>
      <c r="X22" s="116"/>
      <c r="Y22" s="116"/>
      <c r="Z22" s="116"/>
      <c r="AB22" s="116"/>
    </row>
    <row r="23" spans="1:28" ht="21.95" customHeight="1" thickBot="1" x14ac:dyDescent="0.25">
      <c r="A23" s="986"/>
      <c r="B23" s="683">
        <v>0.1</v>
      </c>
      <c r="C23" s="666">
        <v>304.39999999999998</v>
      </c>
      <c r="D23" s="680">
        <v>354.7</v>
      </c>
      <c r="E23" s="681">
        <f t="shared" si="15"/>
        <v>50.300000000000011</v>
      </c>
      <c r="F23" s="651">
        <f t="shared" si="13"/>
        <v>7.204239472930392</v>
      </c>
      <c r="G23" s="684">
        <f t="shared" si="14"/>
        <v>4.0532798625036017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  <c r="AB23" s="116"/>
    </row>
    <row r="24" spans="1:28" ht="21.95" customHeight="1" thickBot="1" x14ac:dyDescent="0.3">
      <c r="A24" s="988"/>
      <c r="B24" s="685">
        <v>6.3E-2</v>
      </c>
      <c r="C24" s="666">
        <v>313.7</v>
      </c>
      <c r="D24" s="680">
        <v>328.9</v>
      </c>
      <c r="E24" s="682">
        <f t="shared" si="15"/>
        <v>15.199999999999989</v>
      </c>
      <c r="F24" s="686">
        <f t="shared" si="13"/>
        <v>2.1770266399312495</v>
      </c>
      <c r="G24" s="687">
        <f t="shared" si="14"/>
        <v>1.8762532225723523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3.871151999999999E-4</v>
      </c>
      <c r="X24" s="116"/>
      <c r="Y24" s="116"/>
      <c r="Z24" s="116"/>
      <c r="AB24" s="116"/>
    </row>
    <row r="25" spans="1:28" ht="21.95" customHeight="1" thickBot="1" x14ac:dyDescent="0.3">
      <c r="A25" s="688"/>
      <c r="B25" s="670" t="s">
        <v>14</v>
      </c>
      <c r="C25" s="689">
        <v>367.5</v>
      </c>
      <c r="D25" s="690">
        <v>380.6</v>
      </c>
      <c r="E25" s="691">
        <f>D25-C25</f>
        <v>13.100000000000023</v>
      </c>
      <c r="F25" s="651">
        <f t="shared" si="13"/>
        <v>1.8762532225723316</v>
      </c>
      <c r="G25" s="657">
        <f>G24-F25</f>
        <v>2.0650148258027912E-14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  <c r="AB25" s="116"/>
    </row>
    <row r="26" spans="1:28" ht="21.95" customHeight="1" x14ac:dyDescent="0.2">
      <c r="A26" s="989" t="s">
        <v>40</v>
      </c>
      <c r="B26" s="990"/>
      <c r="C26" s="692">
        <v>700</v>
      </c>
      <c r="D26" s="693" t="s">
        <v>19</v>
      </c>
      <c r="E26" s="694">
        <f>SUM(E12:E25)</f>
        <v>698.20000000000016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  <c r="AB26" s="116"/>
    </row>
    <row r="27" spans="1:28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1.7999999999998408</v>
      </c>
      <c r="F27" s="700">
        <f>IF((E27/G6*100)&gt;1,"Fehler zu groß",(E27/G6*100))</f>
        <v>0.25714285714283441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2.7549071999999997E-5</v>
      </c>
      <c r="X27" s="276" t="str">
        <f>IF(W22&lt;5.000001,"OK","U größer 5")</f>
        <v>U größer 5</v>
      </c>
      <c r="Y27" s="116"/>
      <c r="Z27" s="116"/>
      <c r="AB27" s="116"/>
    </row>
    <row r="28" spans="1:28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  <c r="AB28" s="116"/>
    </row>
    <row r="29" spans="1:28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2.05E-4</v>
      </c>
      <c r="X29" s="286" t="s">
        <v>113</v>
      </c>
      <c r="Y29" s="288"/>
      <c r="Z29" s="286" t="s">
        <v>114</v>
      </c>
      <c r="AB29" s="116"/>
    </row>
    <row r="30" spans="1:28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  <c r="AB30" s="116"/>
    </row>
    <row r="31" spans="1:28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  <c r="AB31" s="116"/>
    </row>
    <row r="32" spans="1:28" ht="21.95" customHeight="1" x14ac:dyDescent="0.35">
      <c r="A32" s="712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  <c r="AB32" s="116"/>
    </row>
    <row r="33" spans="1:28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  <c r="AB33" s="116"/>
    </row>
    <row r="34" spans="1:28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  <c r="AB34" s="116"/>
    </row>
    <row r="35" spans="1:28" ht="21.95" customHeight="1" x14ac:dyDescent="0.3">
      <c r="A35" s="712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8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2.9605759999999995E-4</v>
      </c>
      <c r="W36" s="839">
        <v>5.6130000000000004E-4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4"/>
  <dimension ref="A1:AE51"/>
  <sheetViews>
    <sheetView topLeftCell="A11" zoomScale="80" zoomScaleNormal="8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4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 t="s">
        <v>177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/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869.3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224</v>
      </c>
      <c r="E12" s="656">
        <f>D12</f>
        <v>224</v>
      </c>
      <c r="F12" s="651">
        <f t="shared" si="13"/>
        <v>25.916926992942262</v>
      </c>
      <c r="G12" s="657">
        <f t="shared" ref="G12:G24" si="14">G11-F12</f>
        <v>74.083073007057735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69</v>
      </c>
      <c r="E13" s="668">
        <f>D13</f>
        <v>69</v>
      </c>
      <c r="F13" s="651">
        <f t="shared" si="13"/>
        <v>7.9833391183616795</v>
      </c>
      <c r="G13" s="669">
        <f t="shared" si="14"/>
        <v>66.099733888696051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70.900000000000006</v>
      </c>
      <c r="E14" s="668">
        <f>D14</f>
        <v>70.900000000000006</v>
      </c>
      <c r="F14" s="651">
        <f t="shared" si="13"/>
        <v>8.2031701955339589</v>
      </c>
      <c r="G14" s="669">
        <f t="shared" si="14"/>
        <v>57.896563693162094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61.3</v>
      </c>
      <c r="E15" s="656">
        <f>D15</f>
        <v>61.3</v>
      </c>
      <c r="F15" s="673">
        <f t="shared" si="13"/>
        <v>7.0924447529792891</v>
      </c>
      <c r="G15" s="674">
        <f t="shared" si="14"/>
        <v>50.804118940182803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642.9</v>
      </c>
      <c r="E16" s="678">
        <f>D16-C16</f>
        <v>12.5</v>
      </c>
      <c r="F16" s="651">
        <f t="shared" si="13"/>
        <v>1.4462570866597244</v>
      </c>
      <c r="G16" s="657">
        <f t="shared" si="14"/>
        <v>49.357861853523076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548.29999999999995</v>
      </c>
      <c r="E17" s="681">
        <f t="shared" ref="E17:E24" si="15">D17-C17</f>
        <v>29</v>
      </c>
      <c r="F17" s="651">
        <f t="shared" si="13"/>
        <v>3.3553164410505611</v>
      </c>
      <c r="G17" s="669">
        <f t="shared" si="14"/>
        <v>46.002545412472514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555.4</v>
      </c>
      <c r="E18" s="682">
        <f t="shared" si="15"/>
        <v>49.199999999999989</v>
      </c>
      <c r="F18" s="651">
        <f t="shared" si="13"/>
        <v>5.6924678930926742</v>
      </c>
      <c r="G18" s="669">
        <f t="shared" si="14"/>
        <v>40.310077519379838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449.2</v>
      </c>
      <c r="E19" s="681">
        <f t="shared" si="15"/>
        <v>65.399999999999977</v>
      </c>
      <c r="F19" s="651">
        <f t="shared" si="13"/>
        <v>7.5668170774036758</v>
      </c>
      <c r="G19" s="669">
        <f t="shared" si="14"/>
        <v>32.743260441976162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456.6</v>
      </c>
      <c r="E20" s="682">
        <f t="shared" si="15"/>
        <v>80.400000000000034</v>
      </c>
      <c r="F20" s="651">
        <f t="shared" si="13"/>
        <v>9.3023255813953512</v>
      </c>
      <c r="G20" s="669">
        <f t="shared" si="14"/>
        <v>23.440934860580811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21.5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382.8</v>
      </c>
      <c r="E21" s="681">
        <f t="shared" si="15"/>
        <v>52</v>
      </c>
      <c r="F21" s="651">
        <f t="shared" si="13"/>
        <v>6.0164294805044536</v>
      </c>
      <c r="G21" s="669">
        <f t="shared" si="14"/>
        <v>17.424505380076358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0.19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387.1</v>
      </c>
      <c r="E22" s="682">
        <f t="shared" si="15"/>
        <v>61</v>
      </c>
      <c r="F22" s="651">
        <f t="shared" si="13"/>
        <v>7.0577345828994549</v>
      </c>
      <c r="G22" s="669">
        <f t="shared" si="14"/>
        <v>10.366770797176903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113.15789473684211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341.6</v>
      </c>
      <c r="E23" s="681">
        <f t="shared" si="15"/>
        <v>37.200000000000045</v>
      </c>
      <c r="F23" s="651">
        <f t="shared" si="13"/>
        <v>4.3040610898993457</v>
      </c>
      <c r="G23" s="684">
        <f t="shared" si="14"/>
        <v>6.0627097072775573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324.7</v>
      </c>
      <c r="E24" s="682">
        <f t="shared" si="15"/>
        <v>11</v>
      </c>
      <c r="F24" s="686">
        <f t="shared" si="13"/>
        <v>1.2727062362605577</v>
      </c>
      <c r="G24" s="687">
        <f t="shared" si="14"/>
        <v>4.7900034710170001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4.3132279999999988E-4</v>
      </c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408.9</v>
      </c>
      <c r="E25" s="691">
        <f>D25-C25+(G6-C26)</f>
        <v>41.399999999999977</v>
      </c>
      <c r="F25" s="651">
        <f t="shared" si="13"/>
        <v>4.7900034710170045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30">
        <v>869.3</v>
      </c>
      <c r="D26" s="693" t="s">
        <v>19</v>
      </c>
      <c r="E26" s="694">
        <f>SUM(E12:E25)</f>
        <v>864.30000000000007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4.9999999999998863</v>
      </c>
      <c r="F27" s="700">
        <f>IF((E27/G6*100)&gt;1,"Fehler zu groß",(E27/G6*100))</f>
        <v>0.57517542850568115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3.0695107999999999E-5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2.1499999999999999E-4</v>
      </c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720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20" t="s">
        <v>45</v>
      </c>
      <c r="B33" s="720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720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20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3.2316139999999995E-4</v>
      </c>
      <c r="W36" s="838">
        <v>4.9089999999999995E-4</v>
      </c>
    </row>
    <row r="38" spans="1:26" x14ac:dyDescent="0.2">
      <c r="I38" s="530">
        <f>SUM(F12:F14)/30</f>
        <v>1.4034478768945966</v>
      </c>
    </row>
    <row r="39" spans="1:26" x14ac:dyDescent="0.2">
      <c r="I39" s="530">
        <f>F15/10</f>
        <v>0.70924447529792889</v>
      </c>
    </row>
    <row r="40" spans="1:26" x14ac:dyDescent="0.2">
      <c r="I40" s="530">
        <f>F16/6.3</f>
        <v>0.22956461693011498</v>
      </c>
    </row>
    <row r="41" spans="1:26" x14ac:dyDescent="0.2">
      <c r="I41" s="530">
        <f>F17/4</f>
        <v>0.83882911026264029</v>
      </c>
    </row>
    <row r="42" spans="1:26" x14ac:dyDescent="0.2">
      <c r="I42" s="530">
        <f>F18/2</f>
        <v>2.8462339465463371</v>
      </c>
    </row>
    <row r="43" spans="1:26" x14ac:dyDescent="0.2">
      <c r="I43" s="530">
        <f>F19/1</f>
        <v>7.5668170774036758</v>
      </c>
    </row>
    <row r="44" spans="1:26" x14ac:dyDescent="0.2">
      <c r="I44" s="530">
        <f>F20/0.63</f>
        <v>14.765596160945002</v>
      </c>
    </row>
    <row r="45" spans="1:26" x14ac:dyDescent="0.2">
      <c r="I45" s="530">
        <f>F21/0.4</f>
        <v>15.041073701261134</v>
      </c>
    </row>
    <row r="46" spans="1:26" x14ac:dyDescent="0.2">
      <c r="I46" s="530">
        <f>F22/0.2</f>
        <v>35.288672914497269</v>
      </c>
    </row>
    <row r="47" spans="1:26" x14ac:dyDescent="0.2">
      <c r="I47" s="530">
        <f>F23/0.1</f>
        <v>43.040610898993457</v>
      </c>
    </row>
    <row r="48" spans="1:26" x14ac:dyDescent="0.2">
      <c r="I48" s="530">
        <f>F24/0.063</f>
        <v>20.201686289850123</v>
      </c>
    </row>
    <row r="49" spans="7:11" x14ac:dyDescent="0.2">
      <c r="I49" s="530">
        <f>F25/0.01</f>
        <v>479.00034710170047</v>
      </c>
    </row>
    <row r="50" spans="7:11" x14ac:dyDescent="0.2">
      <c r="G50" s="530" t="s">
        <v>342</v>
      </c>
      <c r="I50" s="530">
        <f>SUM(I38:I49)</f>
        <v>620.93212417058271</v>
      </c>
    </row>
    <row r="51" spans="7:11" x14ac:dyDescent="0.2">
      <c r="G51" s="530" t="s">
        <v>340</v>
      </c>
      <c r="I51" s="840">
        <f>100/I50</f>
        <v>0.16104819851860003</v>
      </c>
      <c r="K51" s="838">
        <f>0.007395*(I51*I51)</f>
        <v>1.9180058200980895E-4</v>
      </c>
    </row>
  </sheetData>
  <sheetProtection selectLockedCells="1"/>
  <protectedRanges>
    <protectedRange password="C4F2" sqref="E3:E4 C3:C6 D5:D6 G3:G6 F5 C26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5"/>
  <dimension ref="A1:AE51"/>
  <sheetViews>
    <sheetView topLeftCell="R10" zoomScaleNormal="10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96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29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930.6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71.7</v>
      </c>
      <c r="E13" s="668">
        <f>D13</f>
        <v>71.7</v>
      </c>
      <c r="F13" s="651">
        <f t="shared" si="13"/>
        <v>7.7271257678629164</v>
      </c>
      <c r="G13" s="669">
        <f t="shared" si="14"/>
        <v>92.272874232137085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131.30000000000001</v>
      </c>
      <c r="E14" s="668">
        <f>D14</f>
        <v>131.30000000000001</v>
      </c>
      <c r="F14" s="651">
        <f t="shared" si="13"/>
        <v>14.150231706002803</v>
      </c>
      <c r="G14" s="669">
        <f t="shared" si="14"/>
        <v>78.122642526134285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209.5</v>
      </c>
      <c r="E15" s="656">
        <f>D15</f>
        <v>209.5</v>
      </c>
      <c r="F15" s="673">
        <f t="shared" si="13"/>
        <v>22.577863993964868</v>
      </c>
      <c r="G15" s="674">
        <f t="shared" si="14"/>
        <v>55.544778532169417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661.6</v>
      </c>
      <c r="E16" s="678">
        <f>D16-C16</f>
        <v>31.200000000000045</v>
      </c>
      <c r="F16" s="651">
        <f t="shared" si="13"/>
        <v>3.3624312964759184</v>
      </c>
      <c r="G16" s="657">
        <f t="shared" si="14"/>
        <v>52.182347235693499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604.20000000000005</v>
      </c>
      <c r="E17" s="681">
        <f t="shared" ref="E17:E24" si="15">D17-C17</f>
        <v>84.900000000000091</v>
      </c>
      <c r="F17" s="651">
        <f t="shared" si="13"/>
        <v>9.1496928548335053</v>
      </c>
      <c r="G17" s="669">
        <f t="shared" si="14"/>
        <v>43.032654380859995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585</v>
      </c>
      <c r="E18" s="682">
        <f t="shared" si="15"/>
        <v>78.800000000000011</v>
      </c>
      <c r="F18" s="651">
        <f t="shared" si="13"/>
        <v>8.4922944282789103</v>
      </c>
      <c r="G18" s="669">
        <f t="shared" si="14"/>
        <v>34.540359952581085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434.2</v>
      </c>
      <c r="E19" s="681">
        <f t="shared" si="15"/>
        <v>50.399999999999977</v>
      </c>
      <c r="F19" s="651">
        <f t="shared" si="13"/>
        <v>5.4316197866149345</v>
      </c>
      <c r="G19" s="669">
        <f t="shared" si="14"/>
        <v>29.10874016596615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442.9</v>
      </c>
      <c r="E20" s="682">
        <f t="shared" si="15"/>
        <v>66.699999999999989</v>
      </c>
      <c r="F20" s="651">
        <f t="shared" si="13"/>
        <v>7.1882745985558767</v>
      </c>
      <c r="G20" s="669">
        <f t="shared" si="14"/>
        <v>21.920465567410275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10.1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404.4</v>
      </c>
      <c r="E21" s="681">
        <f t="shared" si="15"/>
        <v>73.599999999999966</v>
      </c>
      <c r="F21" s="651">
        <f t="shared" si="13"/>
        <v>7.9318892121995876</v>
      </c>
      <c r="G21" s="669">
        <f t="shared" si="14"/>
        <v>13.988576355210688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0.23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377.5</v>
      </c>
      <c r="E22" s="682">
        <f t="shared" si="15"/>
        <v>51.399999999999977</v>
      </c>
      <c r="F22" s="651">
        <f t="shared" si="13"/>
        <v>5.5393900204763424</v>
      </c>
      <c r="G22" s="669">
        <f t="shared" si="14"/>
        <v>8.4491863347343461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43.913043478260867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337.6</v>
      </c>
      <c r="E23" s="681">
        <f t="shared" si="15"/>
        <v>33.200000000000045</v>
      </c>
      <c r="F23" s="651">
        <f t="shared" si="13"/>
        <v>3.5779717641987334</v>
      </c>
      <c r="G23" s="684">
        <f t="shared" si="14"/>
        <v>4.8712145705356127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321.5</v>
      </c>
      <c r="E24" s="682">
        <f t="shared" si="15"/>
        <v>7.8000000000000114</v>
      </c>
      <c r="F24" s="686">
        <f t="shared" si="13"/>
        <v>0.84060782411897961</v>
      </c>
      <c r="G24" s="687">
        <f t="shared" si="14"/>
        <v>4.0306067464166331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6.3204919999999994E-4</v>
      </c>
    </row>
    <row r="25" spans="1:26" ht="21.95" customHeight="1" thickBot="1" x14ac:dyDescent="0.3">
      <c r="A25" s="727"/>
      <c r="B25" s="670" t="s">
        <v>14</v>
      </c>
      <c r="C25" s="689">
        <v>367.5</v>
      </c>
      <c r="D25" s="690">
        <v>404.9</v>
      </c>
      <c r="E25" s="691">
        <f>D25-C25+(G6-C26)</f>
        <v>37.399999999999977</v>
      </c>
      <c r="F25" s="651">
        <f t="shared" si="13"/>
        <v>4.0306067464166375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930.6</v>
      </c>
      <c r="D26" s="693" t="s">
        <v>19</v>
      </c>
      <c r="E26" s="694">
        <f>SUM(E12:E25)</f>
        <v>927.9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2.7000000000000455</v>
      </c>
      <c r="F27" s="700">
        <f>IF((E27/G6*100)&gt;1,"Fehler zu groß",(E27/G6*100))</f>
        <v>0.29013539651838011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4.4979811999999999E-5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3.3E-4</v>
      </c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  <c r="Z31" s="535"/>
    </row>
    <row r="32" spans="1:26" ht="21.95" customHeight="1" x14ac:dyDescent="0.35">
      <c r="A32" s="728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28" t="s">
        <v>45</v>
      </c>
      <c r="B33" s="728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728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28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332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(W24+W29)/2</f>
        <v>4.8102459999999997E-4</v>
      </c>
      <c r="W36" s="838">
        <v>6.8039999999999995E-4</v>
      </c>
    </row>
    <row r="38" spans="1:26" x14ac:dyDescent="0.2">
      <c r="I38" s="530">
        <f>SUM(F12:F14)/30</f>
        <v>0.72924524912885724</v>
      </c>
    </row>
    <row r="39" spans="1:26" x14ac:dyDescent="0.2">
      <c r="I39" s="530">
        <f>F15/10</f>
        <v>2.2577863993964868</v>
      </c>
    </row>
    <row r="40" spans="1:26" x14ac:dyDescent="0.2">
      <c r="I40" s="530">
        <f>F16/6.3</f>
        <v>0.53371925340887594</v>
      </c>
    </row>
    <row r="41" spans="1:26" x14ac:dyDescent="0.2">
      <c r="I41" s="530">
        <f>F17/4</f>
        <v>2.2874232137083763</v>
      </c>
    </row>
    <row r="42" spans="1:26" x14ac:dyDescent="0.2">
      <c r="I42" s="530">
        <f>F18/2</f>
        <v>4.2461472141394552</v>
      </c>
    </row>
    <row r="43" spans="1:26" x14ac:dyDescent="0.2">
      <c r="I43" s="530">
        <f>F19/1</f>
        <v>5.4316197866149345</v>
      </c>
    </row>
    <row r="44" spans="1:26" x14ac:dyDescent="0.2">
      <c r="I44" s="530">
        <f>F20/0.63</f>
        <v>11.409959680247423</v>
      </c>
    </row>
    <row r="45" spans="1:26" x14ac:dyDescent="0.2">
      <c r="I45" s="530">
        <f>F21/0.4</f>
        <v>19.829723030498968</v>
      </c>
    </row>
    <row r="46" spans="1:26" x14ac:dyDescent="0.2">
      <c r="I46" s="530">
        <f>F22/0.2</f>
        <v>27.69695010238171</v>
      </c>
    </row>
    <row r="47" spans="1:26" x14ac:dyDescent="0.2">
      <c r="I47" s="530">
        <f>F23/0.1</f>
        <v>35.779717641987332</v>
      </c>
    </row>
    <row r="48" spans="1:26" x14ac:dyDescent="0.2">
      <c r="I48" s="530">
        <f>F24/0.063</f>
        <v>13.342981335221898</v>
      </c>
    </row>
    <row r="49" spans="7:9" x14ac:dyDescent="0.2">
      <c r="I49" s="530">
        <f>F25/0.01</f>
        <v>403.06067464166375</v>
      </c>
    </row>
    <row r="50" spans="7:9" x14ac:dyDescent="0.2">
      <c r="G50" s="530" t="s">
        <v>342</v>
      </c>
      <c r="I50" s="530">
        <f>SUM(I38:I49)</f>
        <v>526.60594754839803</v>
      </c>
    </row>
    <row r="51" spans="7:9" x14ac:dyDescent="0.2">
      <c r="G51" s="530" t="s">
        <v>340</v>
      </c>
      <c r="I51" s="530">
        <f>100/I50</f>
        <v>0.1898953106503026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6"/>
  <dimension ref="A1:AE51"/>
  <sheetViews>
    <sheetView topLeftCell="S11" zoomScaleNormal="100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97</v>
      </c>
      <c r="D3" s="385" t="s">
        <v>25</v>
      </c>
      <c r="E3" s="823"/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14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408">
        <v>19</v>
      </c>
      <c r="L4" s="409">
        <v>1.01</v>
      </c>
      <c r="M4" s="407">
        <f t="shared" ref="M4:M10" si="0">(L4-1)*1000</f>
        <v>10.000000000000009</v>
      </c>
      <c r="N4" s="407">
        <f>M4+$G$33</f>
        <v>11.499999999999954</v>
      </c>
      <c r="O4" s="410">
        <v>-0.2</v>
      </c>
      <c r="P4" s="411">
        <f t="shared" ref="P4:P10" si="1">N4+O4</f>
        <v>11.299999999999955</v>
      </c>
      <c r="Q4" s="412">
        <f>((18.35*V4/($F$34-W4))*Z4)^0.5</f>
        <v>7.8035347933194499E-2</v>
      </c>
      <c r="R4" s="407">
        <f t="shared" ref="R4:R10" si="2">$F$36*P4</f>
        <v>83.74935324635338</v>
      </c>
      <c r="S4" s="413">
        <f t="shared" ref="S4:S10" si="3">$G$24/100*R4</f>
        <v>13.575225449993226</v>
      </c>
      <c r="T4" s="831">
        <f>(S4/S$13)*S$4</f>
        <v>2.8566116868700955</v>
      </c>
      <c r="U4" s="414">
        <f>1+0.001*N4</f>
        <v>1.0114999999999998</v>
      </c>
      <c r="V4" s="415">
        <f>0.00178/(1+0.0337*K4+0.00022*K4^2)</f>
        <v>1.0350522178028982E-3</v>
      </c>
      <c r="W4" s="414">
        <f>1/(1+((2.31*K4-2)^2-182)*0.00001)</f>
        <v>0.98451581001991773</v>
      </c>
      <c r="X4" s="416">
        <f>4142.8*(1.03-U4)/10</f>
        <v>7.6641800000000755</v>
      </c>
      <c r="Y4" s="417">
        <f t="shared" ref="Y4:Y13" si="4">X4+$AB$5+0.5*($AC$5-$AD$5/$AE$5)</f>
        <v>16.019397665612352</v>
      </c>
      <c r="Z4" s="418">
        <f t="shared" ref="Z4:Z12" si="5">Y4/I4</f>
        <v>0.53397992218707846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163</v>
      </c>
      <c r="D5" s="422"/>
      <c r="E5" s="423" t="s">
        <v>4</v>
      </c>
      <c r="F5" s="424" t="s">
        <v>128</v>
      </c>
      <c r="G5" s="425"/>
      <c r="I5" s="406">
        <f>J5*60</f>
        <v>60</v>
      </c>
      <c r="J5" s="426">
        <v>1</v>
      </c>
      <c r="K5" s="408">
        <v>19</v>
      </c>
      <c r="L5" s="409">
        <v>1.0095000000000001</v>
      </c>
      <c r="M5" s="407">
        <f t="shared" si="0"/>
        <v>9.5000000000000639</v>
      </c>
      <c r="N5" s="407">
        <f t="shared" ref="N5:N13" si="6">M5+$G$33</f>
        <v>11.000000000000011</v>
      </c>
      <c r="O5" s="410">
        <v>-0.2</v>
      </c>
      <c r="P5" s="411">
        <f t="shared" si="1"/>
        <v>10.800000000000011</v>
      </c>
      <c r="Q5" s="412">
        <f t="shared" ref="Q5:Q12" si="7">((18.35*V5/($F$34-W5))*Z5)^0.5</f>
        <v>5.5534927998329299E-2</v>
      </c>
      <c r="R5" s="407">
        <f t="shared" si="2"/>
        <v>80.043629651382389</v>
      </c>
      <c r="S5" s="413">
        <f t="shared" si="3"/>
        <v>12.974551757515716</v>
      </c>
      <c r="T5" s="831">
        <f t="shared" ref="T5:T12" si="8">(S5/S$13)*S$4</f>
        <v>2.7302129396634678</v>
      </c>
      <c r="U5" s="414">
        <f t="shared" ref="U5:U13" si="9">1+0.001*N5</f>
        <v>1.0110000000000001</v>
      </c>
      <c r="V5" s="415">
        <f t="shared" ref="V5:V12" si="10">0.00178/(1+0.0337*K5+0.00022*K5^2)</f>
        <v>1.0350522178028982E-3</v>
      </c>
      <c r="W5" s="414">
        <f t="shared" ref="W5:W12" si="11">1/(1+((2.31*K5-2)^2-182)*0.00001)</f>
        <v>0.98451581001991773</v>
      </c>
      <c r="X5" s="416">
        <f t="shared" ref="X5:X13" si="12">4142.8*(1.03-U5)/10</f>
        <v>7.8713199999999617</v>
      </c>
      <c r="Y5" s="417">
        <f t="shared" si="4"/>
        <v>16.226537665612238</v>
      </c>
      <c r="Z5" s="418">
        <f t="shared" si="5"/>
        <v>0.27044229442687062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395.7</v>
      </c>
      <c r="I6" s="406">
        <f t="shared" ref="I6:I12" si="13">J6*60</f>
        <v>120</v>
      </c>
      <c r="J6" s="426">
        <v>2</v>
      </c>
      <c r="K6" s="408">
        <v>19</v>
      </c>
      <c r="L6" s="409">
        <v>1.008</v>
      </c>
      <c r="M6" s="407">
        <f t="shared" si="0"/>
        <v>8.0000000000000071</v>
      </c>
      <c r="N6" s="407">
        <f t="shared" si="6"/>
        <v>9.4999999999999538</v>
      </c>
      <c r="O6" s="410">
        <v>-0.2</v>
      </c>
      <c r="P6" s="411">
        <f t="shared" si="1"/>
        <v>9.2999999999999545</v>
      </c>
      <c r="Q6" s="412">
        <f t="shared" si="7"/>
        <v>4.0013995180039612E-2</v>
      </c>
      <c r="R6" s="407">
        <f t="shared" si="2"/>
        <v>68.926458866467755</v>
      </c>
      <c r="S6" s="413">
        <f t="shared" si="3"/>
        <v>11.172530680082909</v>
      </c>
      <c r="T6" s="831">
        <f t="shared" si="8"/>
        <v>2.3510166980435274</v>
      </c>
      <c r="U6" s="414">
        <f t="shared" si="9"/>
        <v>1.0095000000000001</v>
      </c>
      <c r="V6" s="415">
        <f t="shared" si="10"/>
        <v>1.0350522178028982E-3</v>
      </c>
      <c r="W6" s="414">
        <f t="shared" si="11"/>
        <v>0.98451581001991773</v>
      </c>
      <c r="X6" s="416">
        <f t="shared" si="12"/>
        <v>8.4927399999999853</v>
      </c>
      <c r="Y6" s="417">
        <f t="shared" si="4"/>
        <v>16.847957665612263</v>
      </c>
      <c r="Z6" s="418">
        <f t="shared" si="5"/>
        <v>0.14039964721343554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39">
        <v>19</v>
      </c>
      <c r="L7" s="409">
        <v>1.006</v>
      </c>
      <c r="M7" s="407">
        <f t="shared" si="0"/>
        <v>6.0000000000000053</v>
      </c>
      <c r="N7" s="407">
        <f t="shared" si="6"/>
        <v>7.4999999999999512</v>
      </c>
      <c r="O7" s="410">
        <v>-0.2</v>
      </c>
      <c r="P7" s="411">
        <f t="shared" si="1"/>
        <v>7.299999999999951</v>
      </c>
      <c r="Q7" s="412">
        <f t="shared" si="7"/>
        <v>2.592188834767099E-2</v>
      </c>
      <c r="R7" s="407">
        <f t="shared" si="2"/>
        <v>54.103564486582123</v>
      </c>
      <c r="S7" s="413">
        <f t="shared" si="3"/>
        <v>8.769835910172592</v>
      </c>
      <c r="T7" s="831">
        <f t="shared" si="8"/>
        <v>1.8454217092169591</v>
      </c>
      <c r="U7" s="414">
        <f t="shared" si="9"/>
        <v>1.0074999999999998</v>
      </c>
      <c r="V7" s="415">
        <f t="shared" si="10"/>
        <v>1.0350522178028982E-3</v>
      </c>
      <c r="W7" s="414">
        <f t="shared" si="11"/>
        <v>0.98451581001991773</v>
      </c>
      <c r="X7" s="416">
        <f t="shared" si="12"/>
        <v>9.3213000000000772</v>
      </c>
      <c r="Y7" s="417">
        <f t="shared" si="4"/>
        <v>17.676517665612351</v>
      </c>
      <c r="Z7" s="418">
        <f t="shared" si="5"/>
        <v>5.8921725552041171E-2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39">
        <v>19</v>
      </c>
      <c r="L8" s="409">
        <v>1.004</v>
      </c>
      <c r="M8" s="407">
        <f t="shared" si="0"/>
        <v>4.0000000000000036</v>
      </c>
      <c r="N8" s="407">
        <f t="shared" si="6"/>
        <v>5.4999999999999494</v>
      </c>
      <c r="O8" s="410">
        <v>-0.2</v>
      </c>
      <c r="P8" s="411">
        <f t="shared" si="1"/>
        <v>5.2999999999999492</v>
      </c>
      <c r="Q8" s="412">
        <f t="shared" si="7"/>
        <v>1.5312747052819991E-2</v>
      </c>
      <c r="R8" s="407">
        <f t="shared" si="2"/>
        <v>39.280670106696498</v>
      </c>
      <c r="S8" s="413">
        <f t="shared" si="3"/>
        <v>6.367141140262274</v>
      </c>
      <c r="T8" s="831">
        <f t="shared" si="8"/>
        <v>1.3398267203903911</v>
      </c>
      <c r="U8" s="414">
        <f t="shared" si="9"/>
        <v>1.0055000000000001</v>
      </c>
      <c r="V8" s="415">
        <f t="shared" si="10"/>
        <v>1.0350522178028982E-3</v>
      </c>
      <c r="W8" s="414">
        <f t="shared" si="11"/>
        <v>0.98451581001991773</v>
      </c>
      <c r="X8" s="416">
        <f t="shared" si="12"/>
        <v>10.149859999999986</v>
      </c>
      <c r="Y8" s="417">
        <f t="shared" si="4"/>
        <v>18.505077665612262</v>
      </c>
      <c r="Z8" s="418">
        <f t="shared" si="5"/>
        <v>2.0561197406235847E-2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39">
        <v>19</v>
      </c>
      <c r="L9" s="409">
        <v>1.0024999999999999</v>
      </c>
      <c r="M9" s="407">
        <f t="shared" si="0"/>
        <v>2.4999999999999467</v>
      </c>
      <c r="N9" s="407">
        <f t="shared" si="6"/>
        <v>3.9999999999998925</v>
      </c>
      <c r="O9" s="410">
        <v>-0.2</v>
      </c>
      <c r="P9" s="411">
        <f t="shared" si="1"/>
        <v>3.7999999999998924</v>
      </c>
      <c r="Q9" s="412">
        <f t="shared" si="7"/>
        <v>8.988034919716021E-3</v>
      </c>
      <c r="R9" s="407">
        <f t="shared" si="2"/>
        <v>28.163499321781867</v>
      </c>
      <c r="S9" s="413">
        <f t="shared" si="3"/>
        <v>4.5651200628294699</v>
      </c>
      <c r="T9" s="831">
        <f t="shared" si="8"/>
        <v>0.96063047877045127</v>
      </c>
      <c r="U9" s="414">
        <f t="shared" si="9"/>
        <v>1.004</v>
      </c>
      <c r="V9" s="415">
        <f t="shared" si="10"/>
        <v>1.0350522178028982E-3</v>
      </c>
      <c r="W9" s="414">
        <f t="shared" si="11"/>
        <v>0.98451581001991773</v>
      </c>
      <c r="X9" s="416">
        <f t="shared" si="12"/>
        <v>10.77128000000001</v>
      </c>
      <c r="Y9" s="417">
        <f t="shared" si="4"/>
        <v>19.126497665612284</v>
      </c>
      <c r="Z9" s="418">
        <f t="shared" si="5"/>
        <v>7.083888024300846E-3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39">
        <v>19</v>
      </c>
      <c r="L10" s="409">
        <v>1.0015000000000001</v>
      </c>
      <c r="M10" s="407">
        <f t="shared" si="0"/>
        <v>1.5000000000000568</v>
      </c>
      <c r="N10" s="407">
        <f t="shared" si="6"/>
        <v>3.0000000000000027</v>
      </c>
      <c r="O10" s="410">
        <v>-0.2</v>
      </c>
      <c r="P10" s="411">
        <f t="shared" si="1"/>
        <v>2.8000000000000025</v>
      </c>
      <c r="Q10" s="412">
        <f t="shared" si="7"/>
        <v>5.563314102085876E-3</v>
      </c>
      <c r="R10" s="407">
        <f t="shared" si="2"/>
        <v>20.752052131839875</v>
      </c>
      <c r="S10" s="413">
        <f t="shared" si="3"/>
        <v>3.3637726778744441</v>
      </c>
      <c r="T10" s="831">
        <f t="shared" si="8"/>
        <v>0.70783298435719522</v>
      </c>
      <c r="U10" s="414">
        <f t="shared" si="9"/>
        <v>1.0030000000000001</v>
      </c>
      <c r="V10" s="415">
        <f t="shared" si="10"/>
        <v>1.0350522178028982E-3</v>
      </c>
      <c r="W10" s="414">
        <f t="shared" si="11"/>
        <v>0.98451581001991773</v>
      </c>
      <c r="X10" s="416">
        <f t="shared" si="12"/>
        <v>11.185559999999963</v>
      </c>
      <c r="Y10" s="417">
        <f t="shared" si="4"/>
        <v>19.540777665612239</v>
      </c>
      <c r="Z10" s="418">
        <f t="shared" si="5"/>
        <v>2.7139968980017001E-3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439">
        <v>19</v>
      </c>
      <c r="L11" s="409">
        <v>1.0004999999999999</v>
      </c>
      <c r="M11" s="407">
        <f>(L11-1)*1000</f>
        <v>0.49999999999994493</v>
      </c>
      <c r="N11" s="407">
        <f t="shared" si="6"/>
        <v>1.9999999999998908</v>
      </c>
      <c r="O11" s="410">
        <v>-0.2</v>
      </c>
      <c r="P11" s="411">
        <f>N11+O11</f>
        <v>1.7999999999998908</v>
      </c>
      <c r="Q11" s="412">
        <f t="shared" si="7"/>
        <v>3.2458505923035784E-3</v>
      </c>
      <c r="R11" s="407">
        <f>$F$36*P11</f>
        <v>13.340604941896242</v>
      </c>
      <c r="S11" s="413">
        <f>$G$24/100*R11</f>
        <v>2.1624252929191523</v>
      </c>
      <c r="T11" s="831">
        <f t="shared" si="8"/>
        <v>0.45503548994388321</v>
      </c>
      <c r="U11" s="414">
        <f t="shared" si="9"/>
        <v>1.0019999999999998</v>
      </c>
      <c r="V11" s="415">
        <f t="shared" si="10"/>
        <v>1.0350522178028982E-3</v>
      </c>
      <c r="W11" s="414">
        <f t="shared" si="11"/>
        <v>0.98451581001991773</v>
      </c>
      <c r="X11" s="416">
        <f t="shared" si="12"/>
        <v>11.599840000000103</v>
      </c>
      <c r="Y11" s="417">
        <f t="shared" si="4"/>
        <v>19.955057665612379</v>
      </c>
      <c r="Z11" s="418">
        <f t="shared" si="5"/>
        <v>9.2384526229686941E-4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561">
        <v>19</v>
      </c>
      <c r="L12" s="466">
        <v>1</v>
      </c>
      <c r="M12" s="467">
        <f>(L12-1)*1000</f>
        <v>0</v>
      </c>
      <c r="N12" s="467">
        <f t="shared" si="6"/>
        <v>1.4999999999999458</v>
      </c>
      <c r="O12" s="410">
        <v>-0.2</v>
      </c>
      <c r="P12" s="468">
        <f>N12+O12</f>
        <v>1.2999999999999459</v>
      </c>
      <c r="Q12" s="469">
        <f t="shared" si="7"/>
        <v>1.6313267965262362E-3</v>
      </c>
      <c r="R12" s="467">
        <f>$F$36*P12</f>
        <v>9.6348813469252477</v>
      </c>
      <c r="S12" s="470">
        <f>$G$24/100*R12</f>
        <v>1.5617516004416399</v>
      </c>
      <c r="T12" s="831">
        <f t="shared" si="8"/>
        <v>0.32863674273725524</v>
      </c>
      <c r="U12" s="414">
        <f t="shared" si="9"/>
        <v>1.0015000000000001</v>
      </c>
      <c r="V12" s="415">
        <f t="shared" si="10"/>
        <v>1.0350522178028982E-3</v>
      </c>
      <c r="W12" s="414">
        <f t="shared" si="11"/>
        <v>0.98451581001991773</v>
      </c>
      <c r="X12" s="416">
        <f t="shared" si="12"/>
        <v>11.806979999999989</v>
      </c>
      <c r="Y12" s="417">
        <f t="shared" si="4"/>
        <v>20.162197665612265</v>
      </c>
      <c r="Z12" s="418">
        <f t="shared" si="5"/>
        <v>2.3335876927791974E-4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>
        <v>0</v>
      </c>
      <c r="E13" s="474">
        <f>D13</f>
        <v>0</v>
      </c>
      <c r="F13" s="457">
        <f t="shared" si="14"/>
        <v>0</v>
      </c>
      <c r="G13" s="475">
        <f t="shared" si="15"/>
        <v>100</v>
      </c>
      <c r="L13" s="372">
        <v>1</v>
      </c>
      <c r="M13" s="372">
        <f>(L13-1)*1000</f>
        <v>0</v>
      </c>
      <c r="N13" s="372">
        <f t="shared" si="6"/>
        <v>1.4999999999999458</v>
      </c>
      <c r="S13" s="372">
        <f>SUM(S4:S12)</f>
        <v>64.512354572091425</v>
      </c>
      <c r="U13" s="372">
        <f t="shared" si="9"/>
        <v>1.0015000000000001</v>
      </c>
      <c r="X13" s="372">
        <f t="shared" si="12"/>
        <v>11.806979999999989</v>
      </c>
      <c r="Y13" s="372">
        <f t="shared" si="4"/>
        <v>20.162197665612265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10</v>
      </c>
      <c r="E14" s="474">
        <f>D14</f>
        <v>10</v>
      </c>
      <c r="F14" s="457">
        <f t="shared" si="14"/>
        <v>2.5406504065040654</v>
      </c>
      <c r="G14" s="475">
        <f t="shared" si="15"/>
        <v>97.459349593495929</v>
      </c>
      <c r="U14" s="530"/>
      <c r="V14" s="530"/>
      <c r="W14" s="531"/>
      <c r="X14" s="481"/>
      <c r="Y14" s="481"/>
      <c r="Z14" s="481"/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4.5999999999999996</v>
      </c>
      <c r="E15" s="462">
        <f>D15</f>
        <v>4.5999999999999996</v>
      </c>
      <c r="F15" s="479">
        <f t="shared" si="14"/>
        <v>1.1686991869918699</v>
      </c>
      <c r="G15" s="480">
        <f t="shared" si="15"/>
        <v>96.290650406504056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481"/>
      <c r="Y15" s="481"/>
      <c r="Z15" s="481"/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630.4</v>
      </c>
      <c r="E16" s="485">
        <f>D16-C16</f>
        <v>0</v>
      </c>
      <c r="F16" s="457">
        <f t="shared" si="14"/>
        <v>0</v>
      </c>
      <c r="G16" s="463">
        <f t="shared" si="15"/>
        <v>96.290650406504056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1"/>
      <c r="Y16" s="531"/>
      <c r="Z16" s="531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562">
        <v>523.6</v>
      </c>
      <c r="E17" s="487">
        <f t="shared" ref="E17:E24" si="16">D17-C17</f>
        <v>4.3000000000000682</v>
      </c>
      <c r="F17" s="457">
        <f t="shared" si="14"/>
        <v>1.0924796747967653</v>
      </c>
      <c r="G17" s="475">
        <f t="shared" si="15"/>
        <v>95.198170731707293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</row>
    <row r="18" spans="1:26" ht="21.95" customHeight="1" x14ac:dyDescent="0.2">
      <c r="A18" s="949"/>
      <c r="B18" s="486">
        <v>2</v>
      </c>
      <c r="C18" s="472">
        <v>506.2</v>
      </c>
      <c r="D18" s="562">
        <v>513.6</v>
      </c>
      <c r="E18" s="488">
        <f t="shared" si="16"/>
        <v>7.4000000000000341</v>
      </c>
      <c r="F18" s="457">
        <f t="shared" si="14"/>
        <v>1.8800813008130171</v>
      </c>
      <c r="G18" s="475">
        <f t="shared" si="15"/>
        <v>93.318089430894275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26" ht="21.95" customHeight="1" x14ac:dyDescent="0.2">
      <c r="A19" s="949"/>
      <c r="B19" s="486">
        <v>1</v>
      </c>
      <c r="C19" s="472">
        <v>383.8</v>
      </c>
      <c r="D19" s="562">
        <v>406.4</v>
      </c>
      <c r="E19" s="487">
        <f t="shared" si="16"/>
        <v>22.599999999999966</v>
      </c>
      <c r="F19" s="457">
        <f t="shared" si="14"/>
        <v>5.7418699186991784</v>
      </c>
      <c r="G19" s="475">
        <f t="shared" si="15"/>
        <v>87.576219512195095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26" ht="21.95" customHeight="1" x14ac:dyDescent="0.2">
      <c r="A20" s="949"/>
      <c r="B20" s="471">
        <v>0.63</v>
      </c>
      <c r="C20" s="472">
        <v>376.2</v>
      </c>
      <c r="D20" s="562">
        <v>443.7</v>
      </c>
      <c r="E20" s="488">
        <f t="shared" si="16"/>
        <v>67.5</v>
      </c>
      <c r="F20" s="457">
        <f t="shared" si="14"/>
        <v>17.149390243902442</v>
      </c>
      <c r="G20" s="475">
        <f t="shared" si="15"/>
        <v>70.42682926829265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0.51</v>
      </c>
      <c r="X20" s="530"/>
      <c r="Y20" s="530"/>
      <c r="Z20" s="530"/>
    </row>
    <row r="21" spans="1:26" ht="21.95" customHeight="1" thickBot="1" x14ac:dyDescent="0.25">
      <c r="A21" s="949"/>
      <c r="B21" s="489">
        <v>0.4</v>
      </c>
      <c r="C21" s="472">
        <v>330.8</v>
      </c>
      <c r="D21" s="562">
        <v>421.5</v>
      </c>
      <c r="E21" s="487">
        <f t="shared" si="16"/>
        <v>90.699999999999989</v>
      </c>
      <c r="F21" s="457">
        <f t="shared" si="14"/>
        <v>23.043699186991869</v>
      </c>
      <c r="G21" s="475">
        <f t="shared" si="15"/>
        <v>47.383130081300777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3.1E-2</v>
      </c>
      <c r="X21" s="530"/>
      <c r="Y21" s="530"/>
      <c r="Z21" s="530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562">
        <v>419.9</v>
      </c>
      <c r="E22" s="488">
        <f t="shared" si="16"/>
        <v>93.799999999999955</v>
      </c>
      <c r="F22" s="457">
        <f t="shared" si="14"/>
        <v>23.83130081300812</v>
      </c>
      <c r="G22" s="475">
        <f t="shared" si="15"/>
        <v>23.551829268292657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16.451612903225808</v>
      </c>
      <c r="X22" s="530"/>
      <c r="Y22" s="530"/>
      <c r="Z22" s="530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562">
        <v>314.3</v>
      </c>
      <c r="E23" s="487">
        <f t="shared" si="16"/>
        <v>9.9000000000000341</v>
      </c>
      <c r="F23" s="457">
        <f t="shared" si="14"/>
        <v>2.5152439024390332</v>
      </c>
      <c r="G23" s="490">
        <f t="shared" si="15"/>
        <v>21.036585365853625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951"/>
      <c r="B24" s="491">
        <v>6.3E-2</v>
      </c>
      <c r="C24" s="472">
        <v>313.7</v>
      </c>
      <c r="D24" s="562">
        <v>332.7</v>
      </c>
      <c r="E24" s="488">
        <f t="shared" si="16"/>
        <v>19</v>
      </c>
      <c r="F24" s="492">
        <f t="shared" si="14"/>
        <v>4.8272357723577244</v>
      </c>
      <c r="G24" s="493">
        <f t="shared" si="15"/>
        <v>16.209349593495901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1.1482027999999996E-5</v>
      </c>
      <c r="X24" s="530"/>
      <c r="Y24" s="530"/>
      <c r="Z24" s="530"/>
    </row>
    <row r="25" spans="1:26" ht="21.95" customHeight="1" thickBot="1" x14ac:dyDescent="0.3">
      <c r="A25" s="816"/>
      <c r="B25" s="476" t="s">
        <v>14</v>
      </c>
      <c r="C25" s="495">
        <v>367.5</v>
      </c>
      <c r="D25" s="563">
        <v>368.4</v>
      </c>
      <c r="E25" s="496">
        <f>D25-C25+(G6-C26)</f>
        <v>63.799999999999955</v>
      </c>
      <c r="F25" s="457">
        <f t="shared" si="14"/>
        <v>16.209349593495926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26" ht="21.95" customHeight="1" x14ac:dyDescent="0.2">
      <c r="A26" s="952" t="s">
        <v>40</v>
      </c>
      <c r="B26" s="953"/>
      <c r="C26" s="497">
        <v>332.8</v>
      </c>
      <c r="D26" s="498" t="s">
        <v>19</v>
      </c>
      <c r="E26" s="499">
        <f>SUM(E12:E25)</f>
        <v>393.59999999999997</v>
      </c>
      <c r="F26" s="500">
        <f>SUM(F12:F25)</f>
        <v>100.00000000000003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1.16E-3</v>
      </c>
      <c r="X26" s="533"/>
      <c r="Y26" s="530"/>
      <c r="Z26" s="530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2.1000000000000227</v>
      </c>
      <c r="F27" s="505">
        <f>IF((E27/G6*100)&gt;1,"Fehler zu groß",(E27/G6*100))</f>
        <v>0.53070507960576774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8.1711907999999984E-7</v>
      </c>
      <c r="X27" s="551" t="str">
        <f>IF(W22&lt;5.000001,"OK","U größer 5")</f>
        <v>U größer 5</v>
      </c>
      <c r="Y27" s="530"/>
      <c r="Z27" s="530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481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815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15" t="s">
        <v>45</v>
      </c>
      <c r="B33" s="81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558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81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815" t="s">
        <v>36</v>
      </c>
      <c r="B35" s="518"/>
      <c r="C35" s="518"/>
      <c r="D35" s="518"/>
      <c r="E35" s="519"/>
      <c r="F35" s="520">
        <v>21.67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337</v>
      </c>
      <c r="X35" s="530" t="s">
        <v>338</v>
      </c>
      <c r="Y35" s="530"/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7.4114471899428063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(W24)</f>
        <v>1.1482027999999996E-5</v>
      </c>
      <c r="W36" s="838">
        <v>1.296E-5</v>
      </c>
      <c r="X36" s="530"/>
      <c r="Y36" s="530"/>
      <c r="Z36" s="530"/>
    </row>
    <row r="38" spans="1:26" x14ac:dyDescent="0.2">
      <c r="I38" s="372">
        <f>SUM(F12:F14)/30</f>
        <v>8.4688346883468851E-2</v>
      </c>
    </row>
    <row r="39" spans="1:26" x14ac:dyDescent="0.2">
      <c r="I39" s="372">
        <f>F15/10</f>
        <v>0.11686991869918699</v>
      </c>
    </row>
    <row r="40" spans="1:26" x14ac:dyDescent="0.2">
      <c r="I40" s="372">
        <f>F16/6.3</f>
        <v>0</v>
      </c>
    </row>
    <row r="41" spans="1:26" x14ac:dyDescent="0.2">
      <c r="I41" s="372">
        <f>F17/4</f>
        <v>0.27311991869919133</v>
      </c>
    </row>
    <row r="42" spans="1:26" x14ac:dyDescent="0.2">
      <c r="I42" s="372">
        <f>F18/2</f>
        <v>0.94004065040650853</v>
      </c>
    </row>
    <row r="43" spans="1:26" x14ac:dyDescent="0.2">
      <c r="I43" s="372">
        <f>F19/1</f>
        <v>5.7418699186991784</v>
      </c>
    </row>
    <row r="44" spans="1:26" x14ac:dyDescent="0.2">
      <c r="I44" s="372">
        <f>F20/0.63</f>
        <v>27.221254355400703</v>
      </c>
    </row>
    <row r="45" spans="1:26" x14ac:dyDescent="0.2">
      <c r="I45" s="372">
        <f>F21/0.4</f>
        <v>57.609247967479668</v>
      </c>
    </row>
    <row r="46" spans="1:26" x14ac:dyDescent="0.2">
      <c r="I46" s="372">
        <f>F22/0.2</f>
        <v>119.15650406504059</v>
      </c>
    </row>
    <row r="47" spans="1:26" x14ac:dyDescent="0.2">
      <c r="I47" s="372">
        <f>F23/0.1</f>
        <v>25.152439024390329</v>
      </c>
    </row>
    <row r="48" spans="1:26" x14ac:dyDescent="0.2">
      <c r="I48" s="372">
        <f>F24/0.063</f>
        <v>76.622790037424195</v>
      </c>
    </row>
    <row r="49" spans="7:9" x14ac:dyDescent="0.2">
      <c r="I49" s="372">
        <f>F25/0.01</f>
        <v>1620.9349593495926</v>
      </c>
    </row>
    <row r="50" spans="7:9" x14ac:dyDescent="0.2">
      <c r="G50" s="372" t="s">
        <v>342</v>
      </c>
      <c r="I50" s="372">
        <f>SUM(I38:I49)</f>
        <v>1933.8537835527156</v>
      </c>
    </row>
    <row r="51" spans="7:9" x14ac:dyDescent="0.2">
      <c r="G51" s="372" t="s">
        <v>340</v>
      </c>
      <c r="I51" s="372">
        <f>100/I50</f>
        <v>5.1710217623737974E-2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7"/>
  <dimension ref="A1:AA51"/>
  <sheetViews>
    <sheetView topLeftCell="R16" zoomScaleNormal="100" workbookViewId="0">
      <selection activeCell="O12" sqref="O12"/>
    </sheetView>
  </sheetViews>
  <sheetFormatPr baseColWidth="10" defaultRowHeight="12.75" x14ac:dyDescent="0.2"/>
  <cols>
    <col min="1" max="1" width="4.42578125" customWidth="1"/>
    <col min="2" max="2" width="6.7109375" customWidth="1"/>
    <col min="3" max="3" width="11.5703125" customWidth="1"/>
    <col min="4" max="4" width="15.42578125" customWidth="1"/>
    <col min="5" max="5" width="12" customWidth="1"/>
    <col min="6" max="6" width="16.28515625" customWidth="1"/>
    <col min="7" max="7" width="11" customWidth="1"/>
    <col min="8" max="8" width="2.140625" customWidth="1"/>
    <col min="9" max="9" width="6.140625" customWidth="1"/>
    <col min="10" max="10" width="6.42578125" customWidth="1"/>
    <col min="11" max="11" width="8.7109375" customWidth="1"/>
    <col min="12" max="12" width="11.28515625" customWidth="1"/>
    <col min="13" max="13" width="10.85546875" customWidth="1"/>
    <col min="14" max="14" width="12.42578125" customWidth="1"/>
    <col min="15" max="15" width="10.5703125" customWidth="1"/>
    <col min="16" max="17" width="13.42578125" customWidth="1"/>
    <col min="18" max="18" width="13.140625" customWidth="1"/>
    <col min="19" max="19" width="19.5703125" customWidth="1"/>
    <col min="20" max="20" width="5" customWidth="1"/>
    <col min="21" max="21" width="6.28515625" customWidth="1"/>
  </cols>
  <sheetData>
    <row r="1" spans="1:27" ht="20.25" customHeight="1" x14ac:dyDescent="0.2">
      <c r="A1" s="861" t="s">
        <v>2</v>
      </c>
      <c r="B1" s="861"/>
      <c r="C1" s="861"/>
      <c r="D1" s="861"/>
      <c r="E1" s="861"/>
      <c r="F1" s="861"/>
      <c r="G1" s="861"/>
      <c r="H1" s="1"/>
      <c r="I1" s="996" t="s">
        <v>81</v>
      </c>
      <c r="J1" s="997"/>
      <c r="K1" s="994" t="s">
        <v>30</v>
      </c>
      <c r="L1" s="994" t="s">
        <v>82</v>
      </c>
      <c r="M1" s="994" t="s">
        <v>29</v>
      </c>
      <c r="N1" s="994" t="s">
        <v>32</v>
      </c>
      <c r="O1" s="994" t="s">
        <v>83</v>
      </c>
      <c r="P1" s="994" t="s">
        <v>84</v>
      </c>
      <c r="Q1" s="994" t="s">
        <v>85</v>
      </c>
      <c r="R1" s="994" t="s">
        <v>39</v>
      </c>
      <c r="S1" s="1000" t="s">
        <v>31</v>
      </c>
    </row>
    <row r="2" spans="1:27" ht="18.75" customHeight="1" x14ac:dyDescent="0.2">
      <c r="B2" s="1"/>
      <c r="C2" s="1"/>
      <c r="D2" s="1"/>
      <c r="E2" s="1"/>
      <c r="F2" s="98"/>
      <c r="G2" s="1"/>
      <c r="H2" s="1"/>
      <c r="I2" s="998"/>
      <c r="J2" s="999"/>
      <c r="K2" s="995"/>
      <c r="L2" s="995"/>
      <c r="M2" s="995"/>
      <c r="N2" s="995"/>
      <c r="O2" s="995"/>
      <c r="P2" s="995"/>
      <c r="Q2" s="995"/>
      <c r="R2" s="995"/>
      <c r="S2" s="1001"/>
    </row>
    <row r="3" spans="1:27" ht="20.100000000000001" customHeight="1" x14ac:dyDescent="0.35">
      <c r="A3" s="43" t="s">
        <v>23</v>
      </c>
      <c r="B3" s="70"/>
      <c r="C3" s="39">
        <v>98</v>
      </c>
      <c r="D3" s="70" t="s">
        <v>25</v>
      </c>
      <c r="E3" s="90">
        <v>39860</v>
      </c>
      <c r="F3" s="99" t="s">
        <v>42</v>
      </c>
      <c r="G3" s="46"/>
      <c r="H3" s="1"/>
      <c r="I3" s="351" t="s">
        <v>87</v>
      </c>
      <c r="J3" s="352">
        <v>0</v>
      </c>
      <c r="K3" s="353" t="s">
        <v>88</v>
      </c>
      <c r="L3" s="353" t="s">
        <v>88</v>
      </c>
      <c r="M3" s="353" t="s">
        <v>88</v>
      </c>
      <c r="N3" s="353" t="s">
        <v>88</v>
      </c>
      <c r="O3" s="353" t="s">
        <v>88</v>
      </c>
      <c r="P3" s="353" t="s">
        <v>88</v>
      </c>
      <c r="Q3" s="353" t="s">
        <v>88</v>
      </c>
      <c r="R3" s="353" t="s">
        <v>88</v>
      </c>
      <c r="S3" s="354" t="s">
        <v>88</v>
      </c>
    </row>
    <row r="4" spans="1:27" ht="20.100000000000001" customHeight="1" x14ac:dyDescent="0.2">
      <c r="A4" s="44" t="s">
        <v>26</v>
      </c>
      <c r="B4" s="44"/>
      <c r="C4" s="45" t="s">
        <v>89</v>
      </c>
      <c r="D4" s="73" t="s">
        <v>24</v>
      </c>
      <c r="E4" s="45" t="s">
        <v>90</v>
      </c>
      <c r="F4" s="113"/>
      <c r="G4" s="114"/>
      <c r="H4" s="1"/>
      <c r="I4" s="355"/>
      <c r="J4" s="5">
        <v>0.5</v>
      </c>
      <c r="K4" s="63"/>
      <c r="L4" s="64"/>
      <c r="M4" s="5">
        <f t="shared" ref="M4:M10" si="0">(L4-1)*1000</f>
        <v>-1000</v>
      </c>
      <c r="N4" s="5">
        <f t="shared" ref="N4:N10" si="1">M4+$F$33</f>
        <v>-1000</v>
      </c>
      <c r="O4" s="356"/>
      <c r="P4" s="5">
        <f t="shared" ref="P4:P10" si="2">N4+O4</f>
        <v>-1000</v>
      </c>
      <c r="Q4" s="357"/>
      <c r="R4" s="5" t="e">
        <f t="shared" ref="R4:R10" si="3">$F$36*P4</f>
        <v>#DIV/0!</v>
      </c>
      <c r="S4" s="7" t="e">
        <f t="shared" ref="S4:S10" si="4">$G$24/100*R4</f>
        <v>#DIV/0!</v>
      </c>
    </row>
    <row r="5" spans="1:27" ht="20.100000000000001" customHeight="1" x14ac:dyDescent="0.2">
      <c r="A5" s="44" t="s">
        <v>27</v>
      </c>
      <c r="B5" s="44"/>
      <c r="C5" s="92" t="s">
        <v>128</v>
      </c>
      <c r="D5" s="93"/>
      <c r="E5" s="71" t="s">
        <v>4</v>
      </c>
      <c r="F5" s="95" t="s">
        <v>162</v>
      </c>
      <c r="G5" s="96"/>
      <c r="I5" s="355"/>
      <c r="J5" s="50">
        <v>1</v>
      </c>
      <c r="K5" s="63"/>
      <c r="L5" s="356"/>
      <c r="M5" s="5">
        <f t="shared" si="0"/>
        <v>-1000</v>
      </c>
      <c r="N5" s="5">
        <f t="shared" si="1"/>
        <v>-1000</v>
      </c>
      <c r="O5" s="356"/>
      <c r="P5" s="5">
        <f t="shared" si="2"/>
        <v>-1000</v>
      </c>
      <c r="Q5" s="357"/>
      <c r="R5" s="5" t="e">
        <f t="shared" si="3"/>
        <v>#DIV/0!</v>
      </c>
      <c r="S5" s="7" t="e">
        <f t="shared" si="4"/>
        <v>#DIV/0!</v>
      </c>
    </row>
    <row r="6" spans="1:27" ht="20.100000000000001" customHeight="1" x14ac:dyDescent="0.35">
      <c r="A6" s="77" t="s">
        <v>28</v>
      </c>
      <c r="B6" s="74"/>
      <c r="C6" s="92">
        <v>6.3</v>
      </c>
      <c r="D6" s="94"/>
      <c r="E6" s="44" t="s">
        <v>41</v>
      </c>
      <c r="F6" s="75"/>
      <c r="G6" s="76">
        <v>304.39999999999998</v>
      </c>
      <c r="I6" s="355"/>
      <c r="J6" s="50">
        <v>2</v>
      </c>
      <c r="K6" s="63"/>
      <c r="L6" s="356"/>
      <c r="M6" s="5">
        <f t="shared" si="0"/>
        <v>-1000</v>
      </c>
      <c r="N6" s="5">
        <f t="shared" si="1"/>
        <v>-1000</v>
      </c>
      <c r="O6" s="356"/>
      <c r="P6" s="5">
        <f t="shared" si="2"/>
        <v>-1000</v>
      </c>
      <c r="Q6" s="357"/>
      <c r="R6" s="5" t="e">
        <f t="shared" si="3"/>
        <v>#DIV/0!</v>
      </c>
      <c r="S6" s="7" t="e">
        <f t="shared" si="4"/>
        <v>#DIV/0!</v>
      </c>
    </row>
    <row r="7" spans="1:27" ht="20.100000000000001" customHeight="1" thickBot="1" x14ac:dyDescent="0.25">
      <c r="A7" s="67"/>
      <c r="B7" s="67"/>
      <c r="C7" s="67"/>
      <c r="D7" s="68"/>
      <c r="E7" s="68"/>
      <c r="F7" s="68"/>
      <c r="G7" s="69"/>
      <c r="I7" s="355"/>
      <c r="J7" s="50">
        <v>5</v>
      </c>
      <c r="K7" s="63"/>
      <c r="L7" s="356"/>
      <c r="M7" s="5">
        <f t="shared" si="0"/>
        <v>-1000</v>
      </c>
      <c r="N7" s="5">
        <f t="shared" si="1"/>
        <v>-1000</v>
      </c>
      <c r="O7" s="356"/>
      <c r="P7" s="5">
        <f t="shared" si="2"/>
        <v>-1000</v>
      </c>
      <c r="Q7" s="357"/>
      <c r="R7" s="5" t="e">
        <f t="shared" si="3"/>
        <v>#DIV/0!</v>
      </c>
      <c r="S7" s="7" t="e">
        <f t="shared" si="4"/>
        <v>#DIV/0!</v>
      </c>
    </row>
    <row r="8" spans="1:27" ht="16.5" customHeight="1" x14ac:dyDescent="0.2">
      <c r="A8" s="26" t="s">
        <v>11</v>
      </c>
      <c r="B8" s="27"/>
      <c r="C8" s="16" t="s">
        <v>34</v>
      </c>
      <c r="D8" s="12" t="s">
        <v>35</v>
      </c>
      <c r="E8" s="866" t="s">
        <v>33</v>
      </c>
      <c r="F8" s="867"/>
      <c r="G8" s="862" t="s">
        <v>15</v>
      </c>
      <c r="I8" s="355"/>
      <c r="J8" s="50">
        <v>15</v>
      </c>
      <c r="K8" s="63"/>
      <c r="L8" s="356"/>
      <c r="M8" s="5">
        <f t="shared" si="0"/>
        <v>-1000</v>
      </c>
      <c r="N8" s="5">
        <f t="shared" si="1"/>
        <v>-1000</v>
      </c>
      <c r="O8" s="356"/>
      <c r="P8" s="5">
        <f t="shared" si="2"/>
        <v>-1000</v>
      </c>
      <c r="Q8" s="357"/>
      <c r="R8" s="5" t="e">
        <f t="shared" si="3"/>
        <v>#DIV/0!</v>
      </c>
      <c r="S8" s="7" t="e">
        <f t="shared" si="4"/>
        <v>#DIV/0!</v>
      </c>
      <c r="U8" s="116"/>
      <c r="V8" s="116"/>
      <c r="W8" s="204"/>
      <c r="X8" s="13"/>
      <c r="Y8" s="13"/>
      <c r="Z8" s="13"/>
      <c r="AA8" s="116"/>
    </row>
    <row r="9" spans="1:27" ht="18" customHeight="1" x14ac:dyDescent="0.2">
      <c r="A9" s="28"/>
      <c r="B9" s="29"/>
      <c r="C9" s="17" t="s">
        <v>8</v>
      </c>
      <c r="D9" s="18" t="s">
        <v>16</v>
      </c>
      <c r="E9" s="18" t="s">
        <v>18</v>
      </c>
      <c r="F9" s="18" t="s">
        <v>17</v>
      </c>
      <c r="G9" s="863"/>
      <c r="I9" s="355"/>
      <c r="J9" s="50">
        <v>45</v>
      </c>
      <c r="K9" s="63"/>
      <c r="L9" s="64"/>
      <c r="M9" s="5">
        <f t="shared" si="0"/>
        <v>-1000</v>
      </c>
      <c r="N9" s="5">
        <f t="shared" si="1"/>
        <v>-1000</v>
      </c>
      <c r="O9" s="356"/>
      <c r="P9" s="5">
        <f t="shared" si="2"/>
        <v>-1000</v>
      </c>
      <c r="Q9" s="357"/>
      <c r="R9" s="5" t="e">
        <f t="shared" si="3"/>
        <v>#DIV/0!</v>
      </c>
      <c r="S9" s="7" t="e">
        <f t="shared" si="4"/>
        <v>#DIV/0!</v>
      </c>
      <c r="AA9" s="116"/>
    </row>
    <row r="10" spans="1:27" ht="18.75" customHeight="1" thickBot="1" x14ac:dyDescent="0.25">
      <c r="A10" s="24" t="s">
        <v>3</v>
      </c>
      <c r="B10" s="25"/>
      <c r="C10" s="14" t="s">
        <v>0</v>
      </c>
      <c r="D10" s="3" t="s">
        <v>0</v>
      </c>
      <c r="E10" s="3" t="s">
        <v>0</v>
      </c>
      <c r="F10" s="3" t="s">
        <v>1</v>
      </c>
      <c r="G10" s="4" t="s">
        <v>1</v>
      </c>
      <c r="I10" s="358" t="s">
        <v>93</v>
      </c>
      <c r="J10" s="50">
        <v>120</v>
      </c>
      <c r="K10" s="63"/>
      <c r="L10" s="356"/>
      <c r="M10" s="5">
        <f t="shared" si="0"/>
        <v>-1000</v>
      </c>
      <c r="N10" s="5">
        <f t="shared" si="1"/>
        <v>-1000</v>
      </c>
      <c r="O10" s="359"/>
      <c r="P10" s="5">
        <f t="shared" si="2"/>
        <v>-1000</v>
      </c>
      <c r="Q10" s="357"/>
      <c r="R10" s="5" t="e">
        <f t="shared" si="3"/>
        <v>#DIV/0!</v>
      </c>
      <c r="S10" s="7" t="e">
        <f t="shared" si="4"/>
        <v>#DIV/0!</v>
      </c>
      <c r="AA10" s="116"/>
    </row>
    <row r="11" spans="1:27" ht="18.75" customHeight="1" x14ac:dyDescent="0.2">
      <c r="A11" s="858" t="s">
        <v>12</v>
      </c>
      <c r="B11" s="87">
        <v>50</v>
      </c>
      <c r="C11" s="88" t="s">
        <v>21</v>
      </c>
      <c r="D11" s="84">
        <v>0</v>
      </c>
      <c r="E11" s="85">
        <f>D11</f>
        <v>0</v>
      </c>
      <c r="F11" s="2">
        <f t="shared" ref="F11:F25" si="5">E11/$E$26*100</f>
        <v>0</v>
      </c>
      <c r="G11" s="97">
        <v>100</v>
      </c>
      <c r="I11" s="358" t="s">
        <v>94</v>
      </c>
      <c r="J11" s="50">
        <v>360</v>
      </c>
      <c r="K11" s="65"/>
      <c r="L11" s="356"/>
      <c r="M11" s="5">
        <f>(L11-1)*1000</f>
        <v>-1000</v>
      </c>
      <c r="N11" s="5">
        <f>M11+$F$33</f>
        <v>-1000</v>
      </c>
      <c r="O11" s="359"/>
      <c r="P11" s="5">
        <f>N11+O11</f>
        <v>-1000</v>
      </c>
      <c r="Q11" s="357"/>
      <c r="R11" s="5" t="e">
        <f>$F$36*P11</f>
        <v>#DIV/0!</v>
      </c>
      <c r="S11" s="7" t="e">
        <f>$G$24/100*R11</f>
        <v>#DIV/0!</v>
      </c>
      <c r="AA11" s="116"/>
    </row>
    <row r="12" spans="1:27" ht="19.5" customHeight="1" thickBot="1" x14ac:dyDescent="0.25">
      <c r="A12" s="859"/>
      <c r="B12" s="86">
        <v>40</v>
      </c>
      <c r="C12" s="58" t="s">
        <v>21</v>
      </c>
      <c r="D12" s="60">
        <v>0</v>
      </c>
      <c r="E12" s="34">
        <f>D12</f>
        <v>0</v>
      </c>
      <c r="F12" s="2">
        <f t="shared" si="5"/>
        <v>0</v>
      </c>
      <c r="G12" s="37">
        <f t="shared" ref="G12:G24" si="6">G11-F12</f>
        <v>100</v>
      </c>
      <c r="I12" s="360" t="s">
        <v>95</v>
      </c>
      <c r="J12" s="51">
        <v>1440</v>
      </c>
      <c r="K12" s="66"/>
      <c r="L12" s="361"/>
      <c r="M12" s="8">
        <f>(L12-1)*1000</f>
        <v>-1000</v>
      </c>
      <c r="N12" s="8">
        <f>M12+$F$33</f>
        <v>-1000</v>
      </c>
      <c r="O12" s="362"/>
      <c r="P12" s="8">
        <f>N12+O12</f>
        <v>-1000</v>
      </c>
      <c r="Q12" s="363"/>
      <c r="R12" s="8" t="e">
        <f>$F$36*P12</f>
        <v>#DIV/0!</v>
      </c>
      <c r="S12" s="9" t="e">
        <f>$G$24/100*R12</f>
        <v>#DIV/0!</v>
      </c>
      <c r="AA12" s="116"/>
    </row>
    <row r="13" spans="1:27" ht="19.5" customHeight="1" x14ac:dyDescent="0.2">
      <c r="A13" s="859"/>
      <c r="B13" s="21">
        <v>30</v>
      </c>
      <c r="C13" s="56" t="s">
        <v>21</v>
      </c>
      <c r="D13" s="61">
        <v>0</v>
      </c>
      <c r="E13" s="35">
        <f>D13</f>
        <v>0</v>
      </c>
      <c r="F13" s="2">
        <f t="shared" si="5"/>
        <v>0</v>
      </c>
      <c r="G13" s="6">
        <f t="shared" si="6"/>
        <v>100</v>
      </c>
      <c r="AA13" s="116"/>
    </row>
    <row r="14" spans="1:27" ht="19.5" customHeight="1" thickBot="1" x14ac:dyDescent="0.25">
      <c r="A14" s="859"/>
      <c r="B14" s="21">
        <v>20</v>
      </c>
      <c r="C14" s="56" t="s">
        <v>21</v>
      </c>
      <c r="D14" s="61">
        <v>0</v>
      </c>
      <c r="E14" s="35">
        <f>D14</f>
        <v>0</v>
      </c>
      <c r="F14" s="2">
        <f t="shared" si="5"/>
        <v>0</v>
      </c>
      <c r="G14" s="6">
        <f t="shared" si="6"/>
        <v>100</v>
      </c>
      <c r="AA14" s="116"/>
    </row>
    <row r="15" spans="1:27" ht="19.5" customHeight="1" thickBot="1" x14ac:dyDescent="0.25">
      <c r="A15" s="868"/>
      <c r="B15" s="23">
        <v>10</v>
      </c>
      <c r="C15" s="59" t="s">
        <v>21</v>
      </c>
      <c r="D15" s="62">
        <v>0</v>
      </c>
      <c r="E15" s="34">
        <f>D15</f>
        <v>0</v>
      </c>
      <c r="F15" s="36">
        <f t="shared" si="5"/>
        <v>0</v>
      </c>
      <c r="G15" s="38">
        <f t="shared" si="6"/>
        <v>100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U15" s="116"/>
      <c r="V15" s="291" t="s">
        <v>122</v>
      </c>
      <c r="W15" s="273"/>
      <c r="X15" s="13"/>
      <c r="Y15" s="13"/>
      <c r="Z15" s="13"/>
      <c r="AA15" s="116"/>
    </row>
    <row r="16" spans="1:27" ht="19.5" customHeight="1" x14ac:dyDescent="0.2">
      <c r="A16" s="858" t="s">
        <v>13</v>
      </c>
      <c r="B16" s="19">
        <v>6.3</v>
      </c>
      <c r="C16" s="55">
        <v>630.4</v>
      </c>
      <c r="D16" s="40">
        <v>631.6</v>
      </c>
      <c r="E16" s="33">
        <f>D16-C16</f>
        <v>1.2000000000000455</v>
      </c>
      <c r="F16" s="2">
        <f t="shared" si="5"/>
        <v>0.39434768320737595</v>
      </c>
      <c r="G16" s="37">
        <f t="shared" si="6"/>
        <v>99.605652316792629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U16" s="116"/>
      <c r="V16" s="292" t="s">
        <v>123</v>
      </c>
      <c r="W16" s="279"/>
      <c r="X16" s="204"/>
      <c r="Y16" s="204"/>
      <c r="Z16" s="204"/>
      <c r="AA16" s="116"/>
    </row>
    <row r="17" spans="1:27" ht="22.5" customHeight="1" thickBot="1" x14ac:dyDescent="0.25">
      <c r="A17" s="859"/>
      <c r="B17" s="20">
        <v>4</v>
      </c>
      <c r="C17" s="56">
        <v>519.29999999999995</v>
      </c>
      <c r="D17" s="41">
        <v>522.70000000000005</v>
      </c>
      <c r="E17" s="31">
        <f t="shared" ref="E17:E24" si="7">D17-C17</f>
        <v>3.4000000000000909</v>
      </c>
      <c r="F17" s="2">
        <f t="shared" si="5"/>
        <v>1.1173184357542194</v>
      </c>
      <c r="G17" s="6">
        <f t="shared" si="6"/>
        <v>98.488333881038415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U17" s="116"/>
      <c r="V17" s="293" t="s">
        <v>124</v>
      </c>
      <c r="W17" s="283"/>
      <c r="X17" s="116"/>
      <c r="Y17" s="116"/>
      <c r="Z17" s="116"/>
      <c r="AA17" s="116"/>
    </row>
    <row r="18" spans="1:27" ht="21.95" customHeight="1" x14ac:dyDescent="0.2">
      <c r="A18" s="859"/>
      <c r="B18" s="20">
        <v>2</v>
      </c>
      <c r="C18" s="56">
        <v>506.2</v>
      </c>
      <c r="D18" s="41">
        <v>513.5</v>
      </c>
      <c r="E18" s="30">
        <f t="shared" si="7"/>
        <v>7.3000000000000114</v>
      </c>
      <c r="F18" s="2">
        <f t="shared" si="5"/>
        <v>2.3989484061781163</v>
      </c>
      <c r="G18" s="6">
        <f t="shared" si="6"/>
        <v>96.089385474860293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U18" s="116"/>
      <c r="V18" s="116"/>
      <c r="W18" s="116"/>
      <c r="X18" s="116"/>
      <c r="Y18" s="116"/>
      <c r="Z18" s="116"/>
      <c r="AA18" s="116"/>
    </row>
    <row r="19" spans="1:27" ht="21.95" customHeight="1" x14ac:dyDescent="0.2">
      <c r="A19" s="859"/>
      <c r="B19" s="20">
        <v>1</v>
      </c>
      <c r="C19" s="56">
        <v>383.8</v>
      </c>
      <c r="D19" s="41">
        <v>402.8</v>
      </c>
      <c r="E19" s="31">
        <f t="shared" si="7"/>
        <v>19</v>
      </c>
      <c r="F19" s="2">
        <f t="shared" si="5"/>
        <v>6.2438383174498826</v>
      </c>
      <c r="G19" s="6">
        <f t="shared" si="6"/>
        <v>89.845547157410408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U19" s="116"/>
      <c r="V19" s="264" t="s">
        <v>109</v>
      </c>
      <c r="W19" s="266">
        <v>11</v>
      </c>
      <c r="X19" s="116"/>
      <c r="Y19" s="116"/>
      <c r="Z19" s="116"/>
      <c r="AA19" s="116"/>
    </row>
    <row r="20" spans="1:27" ht="21.95" customHeight="1" x14ac:dyDescent="0.2">
      <c r="A20" s="859"/>
      <c r="B20" s="21">
        <v>0.63</v>
      </c>
      <c r="C20" s="56">
        <v>376.2</v>
      </c>
      <c r="D20" s="41">
        <v>443.3</v>
      </c>
      <c r="E20" s="30">
        <f t="shared" si="7"/>
        <v>67.100000000000023</v>
      </c>
      <c r="F20" s="2">
        <f t="shared" si="5"/>
        <v>22.050607952678277</v>
      </c>
      <c r="G20" s="6">
        <f t="shared" si="6"/>
        <v>67.794939204732131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U20" s="116"/>
      <c r="V20" s="264" t="s">
        <v>107</v>
      </c>
      <c r="W20" s="266">
        <v>0.56710000000000005</v>
      </c>
      <c r="X20" s="116" t="s">
        <v>343</v>
      </c>
      <c r="Y20" s="116"/>
      <c r="Z20" s="116"/>
      <c r="AA20" s="116"/>
    </row>
    <row r="21" spans="1:27" ht="21.95" customHeight="1" thickBot="1" x14ac:dyDescent="0.25">
      <c r="A21" s="859"/>
      <c r="B21" s="22">
        <v>0.4</v>
      </c>
      <c r="C21" s="56">
        <v>330.8</v>
      </c>
      <c r="D21" s="41">
        <v>417.4</v>
      </c>
      <c r="E21" s="31">
        <f t="shared" si="7"/>
        <v>86.599999999999966</v>
      </c>
      <c r="F21" s="2">
        <f t="shared" si="5"/>
        <v>28.458757804797873</v>
      </c>
      <c r="G21" s="6">
        <f t="shared" si="6"/>
        <v>39.336181399934262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U21" s="116"/>
      <c r="V21" s="264" t="s">
        <v>108</v>
      </c>
      <c r="W21" s="266">
        <v>0.17910000000000001</v>
      </c>
      <c r="X21" s="116"/>
      <c r="Y21" s="116"/>
      <c r="Z21" s="116"/>
      <c r="AA21" s="116"/>
    </row>
    <row r="22" spans="1:27" ht="21.95" customHeight="1" thickBot="1" x14ac:dyDescent="0.3">
      <c r="A22" s="859"/>
      <c r="B22" s="22">
        <v>0.2</v>
      </c>
      <c r="C22" s="56">
        <v>326.10000000000002</v>
      </c>
      <c r="D22" s="41">
        <v>412.4</v>
      </c>
      <c r="E22" s="30">
        <f t="shared" si="7"/>
        <v>86.299999999999955</v>
      </c>
      <c r="F22" s="2">
        <f t="shared" si="5"/>
        <v>28.360170883996027</v>
      </c>
      <c r="G22" s="6">
        <f t="shared" si="6"/>
        <v>10.976010515938235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U22" s="284" t="s">
        <v>119</v>
      </c>
      <c r="V22" s="285" t="s">
        <v>106</v>
      </c>
      <c r="W22" s="290">
        <f>W20/W21</f>
        <v>3.1663874930206588</v>
      </c>
      <c r="X22" s="116"/>
      <c r="Y22" s="116"/>
      <c r="Z22" s="116"/>
      <c r="AA22" s="116"/>
    </row>
    <row r="23" spans="1:27" ht="21.95" customHeight="1" thickBot="1" x14ac:dyDescent="0.25">
      <c r="A23" s="859"/>
      <c r="B23" s="22">
        <v>0.1</v>
      </c>
      <c r="C23" s="56">
        <v>304.39999999999998</v>
      </c>
      <c r="D23" s="41">
        <v>317.60000000000002</v>
      </c>
      <c r="E23" s="31">
        <f t="shared" si="7"/>
        <v>13.200000000000045</v>
      </c>
      <c r="F23" s="2">
        <f t="shared" si="5"/>
        <v>4.3378245152809853</v>
      </c>
      <c r="G23" s="52">
        <f t="shared" si="6"/>
        <v>6.6381860006572495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U23" s="116"/>
      <c r="V23" s="116"/>
      <c r="W23" s="116"/>
      <c r="X23" s="116"/>
      <c r="Y23" s="116"/>
      <c r="Z23" s="116"/>
      <c r="AA23" s="116"/>
    </row>
    <row r="24" spans="1:27" ht="21.95" customHeight="1" thickBot="1" x14ac:dyDescent="0.3">
      <c r="A24" s="860"/>
      <c r="B24" s="82">
        <v>6.3E-2</v>
      </c>
      <c r="C24" s="56">
        <v>313.7</v>
      </c>
      <c r="D24" s="41">
        <v>315</v>
      </c>
      <c r="E24" s="30">
        <f t="shared" si="7"/>
        <v>1.3000000000000114</v>
      </c>
      <c r="F24" s="53">
        <f t="shared" si="5"/>
        <v>0.4272099901413115</v>
      </c>
      <c r="G24" s="54">
        <f t="shared" si="6"/>
        <v>6.210976010515938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U24" s="116"/>
      <c r="V24" s="269" t="s">
        <v>111</v>
      </c>
      <c r="W24" s="270">
        <f>0.0116*(W21*W21)*(0.7+0.03*W19)</f>
        <v>3.8325372587999995E-4</v>
      </c>
      <c r="X24" s="116"/>
      <c r="Y24" s="116"/>
      <c r="Z24" s="116"/>
      <c r="AA24" s="116"/>
    </row>
    <row r="25" spans="1:27" ht="21.95" customHeight="1" thickBot="1" x14ac:dyDescent="0.3">
      <c r="A25" s="349"/>
      <c r="B25" s="23" t="s">
        <v>14</v>
      </c>
      <c r="C25" s="57">
        <v>367.5</v>
      </c>
      <c r="D25" s="42">
        <v>367.7</v>
      </c>
      <c r="E25" s="89">
        <f>D25-C25+(G6-C26)</f>
        <v>18.899999999999977</v>
      </c>
      <c r="F25" s="2">
        <f t="shared" si="5"/>
        <v>6.2109760105159282</v>
      </c>
      <c r="G25" s="37">
        <f>G24-F25</f>
        <v>9.7699626167013776E-15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U25" s="116"/>
      <c r="V25" s="265"/>
      <c r="W25" s="268"/>
      <c r="X25" s="116"/>
      <c r="Y25" s="116"/>
      <c r="Z25" s="116"/>
      <c r="AA25" s="116"/>
    </row>
    <row r="26" spans="1:27" ht="21.95" customHeight="1" x14ac:dyDescent="0.2">
      <c r="A26" s="864" t="s">
        <v>40</v>
      </c>
      <c r="B26" s="865"/>
      <c r="C26" s="101">
        <v>285.7</v>
      </c>
      <c r="D26" s="106" t="s">
        <v>19</v>
      </c>
      <c r="E26" s="32">
        <f>SUM(E12:E25)</f>
        <v>304.30000000000013</v>
      </c>
      <c r="F26" s="107">
        <f>SUM(F12:F25)</f>
        <v>99.999999999999972</v>
      </c>
      <c r="G26" s="104" t="s">
        <v>20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U26" s="116"/>
      <c r="V26" s="271" t="s">
        <v>110</v>
      </c>
      <c r="W26" s="272">
        <v>1.16E-3</v>
      </c>
      <c r="X26" s="273"/>
      <c r="Y26" s="116"/>
      <c r="Z26" s="116"/>
      <c r="AA26" s="116"/>
    </row>
    <row r="27" spans="1:27" ht="21.95" customHeight="1" thickBot="1" x14ac:dyDescent="0.3">
      <c r="A27" s="869" t="s">
        <v>43</v>
      </c>
      <c r="B27" s="870"/>
      <c r="C27" s="100">
        <f>(G3-G6)/G6</f>
        <v>-1</v>
      </c>
      <c r="D27" s="103" t="s">
        <v>22</v>
      </c>
      <c r="E27" s="102">
        <f>G6-E26</f>
        <v>9.9999999999852207E-2</v>
      </c>
      <c r="F27" s="108">
        <f>IF((E27/G6*100)&gt;1,"Fehler zu groß",(E27/G6*100))</f>
        <v>3.2851511169465247E-2</v>
      </c>
      <c r="G27" s="105" t="s">
        <v>20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U27" s="116"/>
      <c r="V27" s="274" t="s">
        <v>112</v>
      </c>
      <c r="W27" s="275">
        <f>W26*(W21*W21)*(0.7+0.003*W19)</f>
        <v>2.7274270006800003E-5</v>
      </c>
      <c r="X27" s="835" t="str">
        <f>IF(W22&lt;5.000001,"OK","U größer 5")</f>
        <v>OK</v>
      </c>
      <c r="Y27" s="116"/>
      <c r="Z27" s="116"/>
      <c r="AA27" s="116"/>
    </row>
    <row r="28" spans="1:27" ht="16.5" customHeight="1" thickBot="1" x14ac:dyDescent="0.25">
      <c r="A28" s="13"/>
      <c r="B28" s="15"/>
      <c r="C28" s="15"/>
      <c r="D28" s="11"/>
      <c r="E28" s="11"/>
      <c r="F28" s="10"/>
      <c r="G28" s="10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U28" s="116"/>
      <c r="V28" s="116"/>
      <c r="W28" s="116"/>
      <c r="X28" s="116"/>
      <c r="Y28" s="116"/>
      <c r="Z28" s="116"/>
      <c r="AA28" s="116"/>
    </row>
    <row r="29" spans="1:27" ht="18" customHeight="1" thickBot="1" x14ac:dyDescent="0.3">
      <c r="A29" s="861" t="s">
        <v>37</v>
      </c>
      <c r="B29" s="861"/>
      <c r="C29" s="861"/>
      <c r="D29" s="861"/>
      <c r="E29" s="861"/>
      <c r="F29" s="861"/>
      <c r="G29" s="861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U29" s="116"/>
      <c r="V29" s="277" t="s">
        <v>120</v>
      </c>
      <c r="W29" s="287">
        <v>2.9E-5</v>
      </c>
      <c r="X29" s="286" t="s">
        <v>113</v>
      </c>
      <c r="Y29" s="288">
        <v>3.1500000000000001E-4</v>
      </c>
      <c r="Z29" s="286" t="s">
        <v>114</v>
      </c>
      <c r="AA29" s="116"/>
    </row>
    <row r="30" spans="1:27" ht="18" customHeight="1" x14ac:dyDescent="0.2">
      <c r="A30" s="83" t="s">
        <v>38</v>
      </c>
      <c r="B30" s="83"/>
      <c r="C30" s="83"/>
      <c r="D30" s="83"/>
      <c r="E30" s="83"/>
      <c r="F30" s="83"/>
      <c r="G30" s="83"/>
      <c r="I30" s="13"/>
      <c r="J30" s="81"/>
      <c r="K30" s="81"/>
      <c r="L30" s="81"/>
      <c r="M30" s="81"/>
      <c r="N30" s="13"/>
      <c r="O30" s="13"/>
      <c r="P30" s="13"/>
      <c r="Q30" s="13"/>
      <c r="R30" s="13"/>
      <c r="S30" s="13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  <c r="AA30" s="116"/>
    </row>
    <row r="31" spans="1:27" ht="21.95" customHeight="1" x14ac:dyDescent="0.2">
      <c r="A31" s="109" t="s">
        <v>44</v>
      </c>
      <c r="B31" s="110"/>
      <c r="C31" s="110"/>
      <c r="D31" s="110"/>
      <c r="E31" s="110"/>
      <c r="F31" s="364">
        <f>30*(1+C27)*100/G24</f>
        <v>0</v>
      </c>
      <c r="G31" s="111" t="s">
        <v>5</v>
      </c>
      <c r="I31" s="78"/>
      <c r="J31" s="78"/>
      <c r="K31" s="78"/>
      <c r="L31" s="78"/>
      <c r="M31" s="13"/>
      <c r="N31" s="13"/>
      <c r="O31" s="13"/>
      <c r="P31" s="13"/>
      <c r="Q31" s="13"/>
      <c r="R31" s="13"/>
      <c r="S31" s="13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  <c r="AA31" s="116"/>
    </row>
    <row r="32" spans="1:27" ht="21.95" customHeight="1" x14ac:dyDescent="0.2">
      <c r="A32" s="348" t="s">
        <v>96</v>
      </c>
      <c r="B32" s="48"/>
      <c r="C32" s="48"/>
      <c r="D32" s="48"/>
      <c r="E32" s="72"/>
      <c r="F32" s="365"/>
      <c r="G32" s="366" t="s">
        <v>97</v>
      </c>
      <c r="I32" s="78"/>
      <c r="J32" s="78"/>
      <c r="K32" s="79"/>
      <c r="L32" s="79"/>
      <c r="M32" s="13"/>
      <c r="N32" s="13"/>
      <c r="O32" s="13"/>
      <c r="P32" s="13"/>
      <c r="Q32" s="13"/>
      <c r="R32" s="13"/>
      <c r="S32" s="13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  <c r="AA32" s="116"/>
    </row>
    <row r="33" spans="1:27" ht="21.95" customHeight="1" thickBot="1" x14ac:dyDescent="0.3">
      <c r="A33" s="348" t="s">
        <v>98</v>
      </c>
      <c r="B33" s="48"/>
      <c r="C33" s="48"/>
      <c r="D33" s="48"/>
      <c r="E33" s="72"/>
      <c r="F33" s="367"/>
      <c r="G33" s="91" t="s">
        <v>5</v>
      </c>
      <c r="I33" s="112"/>
      <c r="J33" s="79"/>
      <c r="K33" s="79"/>
      <c r="L33" s="80"/>
      <c r="M33" s="13"/>
      <c r="N33" s="13"/>
      <c r="O33" s="13"/>
      <c r="P33" s="13"/>
      <c r="Q33" s="13"/>
      <c r="R33" s="13"/>
      <c r="S33" s="13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  <c r="AA33" s="116"/>
    </row>
    <row r="34" spans="1:27" ht="21.95" customHeight="1" x14ac:dyDescent="0.25">
      <c r="A34" s="348" t="s">
        <v>9</v>
      </c>
      <c r="B34" s="48"/>
      <c r="C34" s="48"/>
      <c r="D34" s="48"/>
      <c r="E34" s="72"/>
      <c r="F34" s="367"/>
      <c r="G34" s="91" t="s">
        <v>6</v>
      </c>
      <c r="I34" s="112"/>
      <c r="J34" s="79"/>
      <c r="K34" s="79"/>
      <c r="L34" s="80"/>
      <c r="M34" s="13"/>
      <c r="N34" s="13"/>
      <c r="O34" s="13"/>
      <c r="P34" s="13"/>
      <c r="Q34" s="13"/>
      <c r="R34" s="13"/>
      <c r="S34" s="13"/>
      <c r="U34" s="116"/>
      <c r="V34" s="116"/>
      <c r="W34" s="116"/>
      <c r="X34" s="116"/>
      <c r="Y34" s="116"/>
      <c r="Z34" s="116"/>
    </row>
    <row r="35" spans="1:27" ht="21.95" customHeight="1" x14ac:dyDescent="0.3">
      <c r="A35" s="348" t="s">
        <v>36</v>
      </c>
      <c r="B35" s="48"/>
      <c r="C35" s="48"/>
      <c r="D35" s="48"/>
      <c r="E35" s="72"/>
      <c r="F35" s="367"/>
      <c r="G35" s="47" t="s">
        <v>7</v>
      </c>
      <c r="I35" s="112"/>
      <c r="J35" s="79"/>
      <c r="K35" s="79"/>
      <c r="L35" s="80"/>
      <c r="M35" s="13"/>
      <c r="N35" s="13"/>
      <c r="O35" s="13"/>
      <c r="P35" s="13"/>
      <c r="Q35" s="13"/>
      <c r="R35" s="13"/>
      <c r="S35" s="13"/>
      <c r="U35" s="116"/>
      <c r="V35" s="265" t="s">
        <v>121</v>
      </c>
      <c r="W35" s="116" t="s">
        <v>333</v>
      </c>
      <c r="X35" s="116"/>
      <c r="Y35" s="116"/>
      <c r="Z35" s="116"/>
    </row>
    <row r="36" spans="1:27" ht="16.5" x14ac:dyDescent="0.3">
      <c r="A36" s="348" t="s">
        <v>10</v>
      </c>
      <c r="B36" s="368"/>
      <c r="C36" s="368"/>
      <c r="D36" s="369"/>
      <c r="E36" s="72"/>
      <c r="F36" s="370" t="e">
        <f>100/F35*F34/(F34-1)</f>
        <v>#DIV/0!</v>
      </c>
      <c r="G36" s="49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U36" s="116"/>
      <c r="V36" s="267">
        <f>(W24+Y29+W27)/3</f>
        <v>2.418426652956E-4</v>
      </c>
      <c r="W36" s="839">
        <v>2.8509999999999999E-4</v>
      </c>
      <c r="X36" s="116"/>
      <c r="Y36" s="116"/>
      <c r="Z36" s="116"/>
    </row>
    <row r="38" spans="1:27" x14ac:dyDescent="0.2">
      <c r="I38">
        <f>SUM(F12:F14)/30</f>
        <v>0</v>
      </c>
    </row>
    <row r="39" spans="1:27" x14ac:dyDescent="0.2">
      <c r="I39">
        <f>F15/10</f>
        <v>0</v>
      </c>
    </row>
    <row r="40" spans="1:27" x14ac:dyDescent="0.2">
      <c r="I40">
        <f>F16/6.3</f>
        <v>6.2594870350377141E-2</v>
      </c>
    </row>
    <row r="41" spans="1:27" x14ac:dyDescent="0.2">
      <c r="I41">
        <f>F17/4</f>
        <v>0.27932960893855485</v>
      </c>
    </row>
    <row r="42" spans="1:27" x14ac:dyDescent="0.2">
      <c r="I42">
        <f>F18/2</f>
        <v>1.1994742030890582</v>
      </c>
    </row>
    <row r="43" spans="1:27" x14ac:dyDescent="0.2">
      <c r="I43">
        <f>F19/1</f>
        <v>6.2438383174498826</v>
      </c>
    </row>
    <row r="44" spans="1:27" x14ac:dyDescent="0.2">
      <c r="I44">
        <f>F20/0.63</f>
        <v>35.000965004251235</v>
      </c>
    </row>
    <row r="45" spans="1:27" x14ac:dyDescent="0.2">
      <c r="I45">
        <f>F21/0.4</f>
        <v>71.146894511994674</v>
      </c>
    </row>
    <row r="46" spans="1:27" x14ac:dyDescent="0.2">
      <c r="I46">
        <f>F22/0.2</f>
        <v>141.80085441998011</v>
      </c>
    </row>
    <row r="47" spans="1:27" x14ac:dyDescent="0.2">
      <c r="I47">
        <f>F23/0.1</f>
        <v>43.378245152809853</v>
      </c>
    </row>
    <row r="48" spans="1:27" x14ac:dyDescent="0.2">
      <c r="I48">
        <f>F24/0.063</f>
        <v>6.7811109546239923</v>
      </c>
    </row>
    <row r="49" spans="7:9" x14ac:dyDescent="0.2">
      <c r="I49">
        <f>F25/0.01</f>
        <v>621.09760105159285</v>
      </c>
    </row>
    <row r="50" spans="7:9" x14ac:dyDescent="0.2">
      <c r="G50" t="s">
        <v>342</v>
      </c>
      <c r="I50">
        <f>SUM(I38:I49)</f>
        <v>926.99090809508061</v>
      </c>
    </row>
    <row r="51" spans="7:9" x14ac:dyDescent="0.2">
      <c r="G51" t="s">
        <v>340</v>
      </c>
      <c r="I51">
        <f>100/I50</f>
        <v>0.10787592319054665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8"/>
  <dimension ref="A1:AE51"/>
  <sheetViews>
    <sheetView topLeftCell="Q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99</v>
      </c>
      <c r="D3" s="385" t="s">
        <v>25</v>
      </c>
      <c r="E3" s="387">
        <v>39885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19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408">
        <v>19</v>
      </c>
      <c r="L4" s="409">
        <v>1.0175000000000001</v>
      </c>
      <c r="M4" s="407">
        <f t="shared" ref="M4:M10" si="0">(L4-1)*1000</f>
        <v>17.500000000000071</v>
      </c>
      <c r="N4" s="407">
        <f>M4+$G$33</f>
        <v>19.000000000000018</v>
      </c>
      <c r="O4" s="410">
        <v>-0.18</v>
      </c>
      <c r="P4" s="411">
        <f t="shared" ref="P4:P10" si="1">N4+O4</f>
        <v>18.820000000000018</v>
      </c>
      <c r="Q4" s="412">
        <f>((18.35*V4/($F$34-W4))*Z4)^0.5</f>
        <v>7.0197633382932959E-2</v>
      </c>
      <c r="R4" s="407">
        <f t="shared" ref="R4:R10" si="2">$F$36*P4</f>
        <v>82.337402904006098</v>
      </c>
      <c r="S4" s="413">
        <f t="shared" ref="S4:S10" si="3">$G$24/100*R4</f>
        <v>56.445853095794241</v>
      </c>
      <c r="T4" s="831">
        <f>(S4/S$13)*S$4</f>
        <v>13.275568048773511</v>
      </c>
      <c r="U4" s="414">
        <f>1+0.001*N4</f>
        <v>1.0190000000000001</v>
      </c>
      <c r="V4" s="415">
        <f>0.00178/(1+0.0337*K4+0.00022*K4^2)</f>
        <v>1.0350522178028982E-3</v>
      </c>
      <c r="W4" s="414">
        <f>1/(1+((2.31*K4-2)^2-182)*0.00001)</f>
        <v>0.98451581001991773</v>
      </c>
      <c r="X4" s="416">
        <f>4142.8*(1.03-U4)/10</f>
        <v>4.5570799999999583</v>
      </c>
      <c r="Y4" s="417">
        <f t="shared" ref="Y4:Y12" si="4">X4+$AB$5+0.5*($AC$5-$AD$5/$AE$5)</f>
        <v>12.963085387852882</v>
      </c>
      <c r="Z4" s="418">
        <f t="shared" ref="Z4:Z12" si="5">Y4/I4</f>
        <v>0.43210284626176271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 t="s">
        <v>238</v>
      </c>
      <c r="G5" s="425"/>
      <c r="I5" s="406">
        <f>J5*60</f>
        <v>60</v>
      </c>
      <c r="J5" s="426">
        <v>1</v>
      </c>
      <c r="K5" s="408">
        <v>19</v>
      </c>
      <c r="L5" s="409">
        <v>1.0145</v>
      </c>
      <c r="M5" s="407">
        <f t="shared" si="0"/>
        <v>14.499999999999957</v>
      </c>
      <c r="N5" s="407">
        <f t="shared" ref="N5:N12" si="6">M5+$G$33</f>
        <v>15.999999999999904</v>
      </c>
      <c r="O5" s="410">
        <v>-0.18</v>
      </c>
      <c r="P5" s="411">
        <f t="shared" si="1"/>
        <v>15.819999999999904</v>
      </c>
      <c r="Q5" s="412">
        <f t="shared" ref="Q5:Q12" si="7">((18.35*V5/($F$34-W5))*Z5)^0.5</f>
        <v>5.1962261804082623E-2</v>
      </c>
      <c r="R5" s="407">
        <f t="shared" si="2"/>
        <v>69.212418381581685</v>
      </c>
      <c r="S5" s="413">
        <f t="shared" si="3"/>
        <v>47.448108181480265</v>
      </c>
      <c r="T5" s="831">
        <f t="shared" ref="T5:T12" si="8">(S5/S$13)*S$4</f>
        <v>11.159377605292002</v>
      </c>
      <c r="U5" s="414">
        <f t="shared" ref="U5:U12" si="9">1+0.001*N5</f>
        <v>1.016</v>
      </c>
      <c r="V5" s="415">
        <f t="shared" ref="V5:V12" si="10">0.00178/(1+0.0337*K5+0.00022*K5^2)</f>
        <v>1.0350522178028982E-3</v>
      </c>
      <c r="W5" s="414">
        <f t="shared" ref="W5:W12" si="11">1/(1+((2.31*K5-2)^2-182)*0.00001)</f>
        <v>0.98451581001991773</v>
      </c>
      <c r="X5" s="416">
        <f t="shared" ref="X5:X12" si="12">4142.8*(1.03-U5)/10</f>
        <v>5.7999200000000055</v>
      </c>
      <c r="Y5" s="417">
        <f t="shared" si="4"/>
        <v>14.205925387852929</v>
      </c>
      <c r="Z5" s="418">
        <f t="shared" si="5"/>
        <v>0.23676542313088214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652.70000000000005</v>
      </c>
      <c r="I6" s="406">
        <f t="shared" ref="I6:I12" si="13">J6*60</f>
        <v>120</v>
      </c>
      <c r="J6" s="426">
        <v>2</v>
      </c>
      <c r="K6" s="408">
        <v>19</v>
      </c>
      <c r="L6" s="409">
        <v>1.0129999999999999</v>
      </c>
      <c r="M6" s="407">
        <f t="shared" si="0"/>
        <v>12.999999999999901</v>
      </c>
      <c r="N6" s="407">
        <f t="shared" si="6"/>
        <v>14.499999999999847</v>
      </c>
      <c r="O6" s="410">
        <v>-0.18</v>
      </c>
      <c r="P6" s="411">
        <f t="shared" si="1"/>
        <v>14.319999999999848</v>
      </c>
      <c r="Q6" s="412">
        <f t="shared" si="7"/>
        <v>3.7537901143729853E-2</v>
      </c>
      <c r="R6" s="407">
        <f t="shared" si="2"/>
        <v>62.649926120369479</v>
      </c>
      <c r="S6" s="413">
        <f t="shared" si="3"/>
        <v>42.94923572432328</v>
      </c>
      <c r="T6" s="831">
        <f t="shared" si="8"/>
        <v>10.101282383551247</v>
      </c>
      <c r="U6" s="414">
        <f t="shared" si="9"/>
        <v>1.0145</v>
      </c>
      <c r="V6" s="415">
        <f t="shared" si="10"/>
        <v>1.0350522178028982E-3</v>
      </c>
      <c r="W6" s="414">
        <f t="shared" si="11"/>
        <v>0.98451581001991773</v>
      </c>
      <c r="X6" s="416">
        <f t="shared" si="12"/>
        <v>6.4213400000000291</v>
      </c>
      <c r="Y6" s="417">
        <f t="shared" si="4"/>
        <v>14.827345387852954</v>
      </c>
      <c r="Z6" s="418">
        <f t="shared" si="5"/>
        <v>0.12356121156544128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08">
        <v>19</v>
      </c>
      <c r="L7" s="409">
        <v>1.0065</v>
      </c>
      <c r="M7" s="407">
        <f t="shared" si="0"/>
        <v>6.4999999999999503</v>
      </c>
      <c r="N7" s="407">
        <f t="shared" si="6"/>
        <v>7.9999999999998961</v>
      </c>
      <c r="O7" s="410">
        <v>-0.18</v>
      </c>
      <c r="P7" s="411">
        <f t="shared" si="1"/>
        <v>7.8199999999998964</v>
      </c>
      <c r="Q7" s="412">
        <f t="shared" si="7"/>
        <v>2.5806991610152912E-2</v>
      </c>
      <c r="R7" s="407">
        <f t="shared" si="2"/>
        <v>34.212459655117875</v>
      </c>
      <c r="S7" s="413">
        <f t="shared" si="3"/>
        <v>23.454121743310552</v>
      </c>
      <c r="T7" s="831">
        <f t="shared" si="8"/>
        <v>5.5162030893415182</v>
      </c>
      <c r="U7" s="414">
        <f t="shared" si="9"/>
        <v>1.008</v>
      </c>
      <c r="V7" s="415">
        <f t="shared" si="10"/>
        <v>1.0350522178028982E-3</v>
      </c>
      <c r="W7" s="414">
        <f t="shared" si="11"/>
        <v>0.98451581001991773</v>
      </c>
      <c r="X7" s="416">
        <f t="shared" si="12"/>
        <v>9.1141600000000089</v>
      </c>
      <c r="Y7" s="417">
        <f t="shared" si="4"/>
        <v>17.520165387852934</v>
      </c>
      <c r="Z7" s="418">
        <f t="shared" si="5"/>
        <v>5.8400551292843113E-2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08">
        <v>19</v>
      </c>
      <c r="L8" s="409">
        <v>1.0055000000000001</v>
      </c>
      <c r="M8" s="407">
        <f t="shared" si="0"/>
        <v>5.5000000000000604</v>
      </c>
      <c r="N8" s="407">
        <f t="shared" si="6"/>
        <v>7.0000000000000062</v>
      </c>
      <c r="O8" s="410">
        <v>-0.18</v>
      </c>
      <c r="P8" s="411">
        <f t="shared" si="1"/>
        <v>6.8200000000000065</v>
      </c>
      <c r="Q8" s="412">
        <f t="shared" si="7"/>
        <v>1.5074802394143383E-2</v>
      </c>
      <c r="R8" s="407">
        <f t="shared" si="2"/>
        <v>29.83746481431039</v>
      </c>
      <c r="S8" s="413">
        <f t="shared" si="3"/>
        <v>20.454873438539675</v>
      </c>
      <c r="T8" s="831">
        <f t="shared" si="8"/>
        <v>4.8108062748477867</v>
      </c>
      <c r="U8" s="414">
        <f t="shared" si="9"/>
        <v>1.0070000000000001</v>
      </c>
      <c r="V8" s="415">
        <f t="shared" si="10"/>
        <v>1.0350522178028982E-3</v>
      </c>
      <c r="W8" s="414">
        <f t="shared" si="11"/>
        <v>0.98451581001991773</v>
      </c>
      <c r="X8" s="416">
        <f t="shared" si="12"/>
        <v>9.5284399999999643</v>
      </c>
      <c r="Y8" s="417">
        <f t="shared" si="4"/>
        <v>17.93444538785289</v>
      </c>
      <c r="Z8" s="418">
        <f t="shared" si="5"/>
        <v>1.9927161542058765E-2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08">
        <v>19</v>
      </c>
      <c r="L9" s="409">
        <v>1.004</v>
      </c>
      <c r="M9" s="407">
        <f t="shared" si="0"/>
        <v>4.0000000000000036</v>
      </c>
      <c r="N9" s="407">
        <f t="shared" si="6"/>
        <v>5.4999999999999494</v>
      </c>
      <c r="O9" s="410">
        <v>-0.18</v>
      </c>
      <c r="P9" s="411">
        <f t="shared" si="1"/>
        <v>5.3199999999999497</v>
      </c>
      <c r="Q9" s="412">
        <f t="shared" si="7"/>
        <v>8.8529422618119358E-3</v>
      </c>
      <c r="R9" s="407">
        <f t="shared" si="2"/>
        <v>23.274972553098184</v>
      </c>
      <c r="S9" s="413">
        <f t="shared" si="3"/>
        <v>15.956000981382688</v>
      </c>
      <c r="T9" s="831">
        <f t="shared" si="8"/>
        <v>3.7527110531070318</v>
      </c>
      <c r="U9" s="414">
        <f t="shared" si="9"/>
        <v>1.0055000000000001</v>
      </c>
      <c r="V9" s="415">
        <f t="shared" si="10"/>
        <v>1.0350522178028982E-3</v>
      </c>
      <c r="W9" s="414">
        <f t="shared" si="11"/>
        <v>0.98451581001991773</v>
      </c>
      <c r="X9" s="416">
        <f t="shared" si="12"/>
        <v>10.149859999999986</v>
      </c>
      <c r="Y9" s="417">
        <f t="shared" si="4"/>
        <v>18.555865387852911</v>
      </c>
      <c r="Z9" s="418">
        <f t="shared" si="5"/>
        <v>6.872542736241819E-3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39">
        <v>0</v>
      </c>
      <c r="L10" s="409">
        <v>1.0029999999999999</v>
      </c>
      <c r="M10" s="407">
        <f t="shared" si="0"/>
        <v>2.9999999999998916</v>
      </c>
      <c r="N10" s="407">
        <f t="shared" si="6"/>
        <v>4.4999999999998375</v>
      </c>
      <c r="O10" s="410">
        <v>0</v>
      </c>
      <c r="P10" s="411">
        <f t="shared" si="1"/>
        <v>4.4999999999998375</v>
      </c>
      <c r="Q10" s="412">
        <f t="shared" si="7"/>
        <v>7.2258666936885927E-3</v>
      </c>
      <c r="R10" s="407">
        <f t="shared" si="2"/>
        <v>19.687476783635159</v>
      </c>
      <c r="S10" s="413">
        <f t="shared" si="3"/>
        <v>13.496617371469961</v>
      </c>
      <c r="T10" s="831">
        <f t="shared" si="8"/>
        <v>3.1742856652220293</v>
      </c>
      <c r="U10" s="414">
        <f t="shared" si="9"/>
        <v>1.0044999999999997</v>
      </c>
      <c r="V10" s="415">
        <f t="shared" si="10"/>
        <v>1.7799999999999999E-3</v>
      </c>
      <c r="W10" s="414">
        <f t="shared" si="11"/>
        <v>1.0017831740498087</v>
      </c>
      <c r="X10" s="416">
        <f t="shared" si="12"/>
        <v>10.564140000000126</v>
      </c>
      <c r="Y10" s="417">
        <f t="shared" si="4"/>
        <v>18.970145387853051</v>
      </c>
      <c r="Z10" s="418">
        <f t="shared" si="5"/>
        <v>2.6347424149795904E-3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4" si="14">E11/$E$26*100</f>
        <v>0</v>
      </c>
      <c r="G11" s="458">
        <v>100</v>
      </c>
      <c r="I11" s="406">
        <f t="shared" si="13"/>
        <v>21600</v>
      </c>
      <c r="J11" s="426">
        <v>360</v>
      </c>
      <c r="K11" s="439">
        <v>0</v>
      </c>
      <c r="L11" s="409">
        <v>1.002</v>
      </c>
      <c r="M11" s="407">
        <f>(L11-1)*1000</f>
        <v>2.0000000000000018</v>
      </c>
      <c r="N11" s="407">
        <f t="shared" si="6"/>
        <v>3.4999999999999476</v>
      </c>
      <c r="O11" s="410">
        <v>0</v>
      </c>
      <c r="P11" s="411">
        <f>N11+O11</f>
        <v>3.4999999999999476</v>
      </c>
      <c r="Q11" s="412">
        <f t="shared" si="7"/>
        <v>4.2171636463689249E-3</v>
      </c>
      <c r="R11" s="407">
        <f>$F$36*P11</f>
        <v>15.312481942827668</v>
      </c>
      <c r="S11" s="413">
        <f>$G$24/100*R11</f>
        <v>10.497369066699079</v>
      </c>
      <c r="T11" s="831">
        <f t="shared" si="8"/>
        <v>2.4688888507282964</v>
      </c>
      <c r="U11" s="414">
        <f t="shared" si="9"/>
        <v>1.0034999999999998</v>
      </c>
      <c r="V11" s="415">
        <f t="shared" si="10"/>
        <v>1.7799999999999999E-3</v>
      </c>
      <c r="W11" s="414">
        <f t="shared" si="11"/>
        <v>1.0017831740498087</v>
      </c>
      <c r="X11" s="416">
        <f t="shared" si="12"/>
        <v>10.97842000000008</v>
      </c>
      <c r="Y11" s="417">
        <f t="shared" si="4"/>
        <v>19.384425387853003</v>
      </c>
      <c r="Z11" s="418">
        <f t="shared" si="5"/>
        <v>8.9742710128949091E-4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561">
        <v>0.1</v>
      </c>
      <c r="L12" s="466">
        <v>1.0015000000000001</v>
      </c>
      <c r="M12" s="467">
        <f>(L12-1)*1000</f>
        <v>1.5000000000000568</v>
      </c>
      <c r="N12" s="467">
        <f t="shared" si="6"/>
        <v>3.0000000000000027</v>
      </c>
      <c r="O12" s="410">
        <v>0.1</v>
      </c>
      <c r="P12" s="468">
        <f>N12+O12</f>
        <v>3.1000000000000028</v>
      </c>
      <c r="Q12" s="469">
        <f t="shared" si="7"/>
        <v>2.1162583303038487E-3</v>
      </c>
      <c r="R12" s="467">
        <f>$F$36*P12</f>
        <v>13.562484006504722</v>
      </c>
      <c r="S12" s="470">
        <f>$G$24/100*R12</f>
        <v>9.2976697447907615</v>
      </c>
      <c r="T12" s="831">
        <f t="shared" si="8"/>
        <v>2.1867301249308122</v>
      </c>
      <c r="U12" s="414">
        <f t="shared" si="9"/>
        <v>1.0030000000000001</v>
      </c>
      <c r="V12" s="415">
        <f t="shared" si="10"/>
        <v>1.774017657654856E-3</v>
      </c>
      <c r="W12" s="414">
        <f t="shared" si="11"/>
        <v>1.0017919115937179</v>
      </c>
      <c r="X12" s="416">
        <f t="shared" si="12"/>
        <v>11.185559999999963</v>
      </c>
      <c r="Y12" s="417">
        <f t="shared" si="4"/>
        <v>19.591565387852889</v>
      </c>
      <c r="Z12" s="418">
        <f t="shared" si="5"/>
        <v>2.2675422902607509E-4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>
        <v>0</v>
      </c>
      <c r="E13" s="474">
        <f>D13</f>
        <v>0</v>
      </c>
      <c r="F13" s="457">
        <f t="shared" si="14"/>
        <v>0</v>
      </c>
      <c r="G13" s="475">
        <f t="shared" si="15"/>
        <v>100</v>
      </c>
      <c r="S13" s="372">
        <f>SUM(S4:S12)</f>
        <v>239.99984934779053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15.1</v>
      </c>
      <c r="E14" s="474">
        <f>D14</f>
        <v>15.1</v>
      </c>
      <c r="F14" s="457">
        <f t="shared" si="14"/>
        <v>2.3173726212400241</v>
      </c>
      <c r="G14" s="475">
        <f t="shared" si="15"/>
        <v>97.682627378759975</v>
      </c>
      <c r="U14" s="530"/>
      <c r="V14" s="530"/>
      <c r="W14" s="530"/>
      <c r="X14" s="530"/>
      <c r="Y14" s="530"/>
      <c r="Z14" s="530"/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11.2</v>
      </c>
      <c r="E15" s="462">
        <f>D15</f>
        <v>11.2</v>
      </c>
      <c r="F15" s="479">
        <f t="shared" si="14"/>
        <v>1.7188459177409448</v>
      </c>
      <c r="G15" s="480">
        <f t="shared" si="15"/>
        <v>95.963781461019025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530"/>
      <c r="Y15" s="530"/>
      <c r="Z15" s="530"/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632.29999999999995</v>
      </c>
      <c r="E16" s="485">
        <f>D16-C16</f>
        <v>1.8999999999999773</v>
      </c>
      <c r="F16" s="457">
        <f t="shared" si="14"/>
        <v>0.2915899324739068</v>
      </c>
      <c r="G16" s="463">
        <f t="shared" si="15"/>
        <v>95.672191528545113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0"/>
      <c r="Y16" s="530"/>
      <c r="Z16" s="530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562">
        <v>521.29999999999995</v>
      </c>
      <c r="E17" s="487">
        <f t="shared" ref="E17:E24" si="16">D17-C17</f>
        <v>2</v>
      </c>
      <c r="F17" s="457">
        <f t="shared" si="14"/>
        <v>0.30693677102516875</v>
      </c>
      <c r="G17" s="475">
        <f t="shared" si="15"/>
        <v>95.365254757519949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</row>
    <row r="18" spans="1:26" ht="21.95" customHeight="1" x14ac:dyDescent="0.2">
      <c r="A18" s="949"/>
      <c r="B18" s="486">
        <v>2</v>
      </c>
      <c r="C18" s="472">
        <v>506.2</v>
      </c>
      <c r="D18" s="562">
        <v>508.8</v>
      </c>
      <c r="E18" s="488">
        <f t="shared" si="16"/>
        <v>2.6000000000000227</v>
      </c>
      <c r="F18" s="457">
        <f t="shared" si="14"/>
        <v>0.39901780233272288</v>
      </c>
      <c r="G18" s="475">
        <f t="shared" si="15"/>
        <v>94.966236955187227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26" ht="21.95" customHeight="1" x14ac:dyDescent="0.2">
      <c r="A19" s="949"/>
      <c r="B19" s="486">
        <v>1</v>
      </c>
      <c r="C19" s="472">
        <v>383.8</v>
      </c>
      <c r="D19" s="562">
        <v>388.4</v>
      </c>
      <c r="E19" s="487">
        <f t="shared" si="16"/>
        <v>4.5999999999999659</v>
      </c>
      <c r="F19" s="457">
        <f t="shared" si="14"/>
        <v>0.70595457335788292</v>
      </c>
      <c r="G19" s="475">
        <f t="shared" si="15"/>
        <v>94.260282381829342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26" ht="21.95" customHeight="1" x14ac:dyDescent="0.2">
      <c r="A20" s="949"/>
      <c r="B20" s="471">
        <v>0.63</v>
      </c>
      <c r="C20" s="472">
        <v>376.2</v>
      </c>
      <c r="D20" s="562">
        <v>385.9</v>
      </c>
      <c r="E20" s="488">
        <f t="shared" si="16"/>
        <v>9.6999999999999886</v>
      </c>
      <c r="F20" s="457">
        <f t="shared" si="14"/>
        <v>1.4886433394720666</v>
      </c>
      <c r="G20" s="475">
        <f t="shared" si="15"/>
        <v>92.771639042357279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5.5E-2</v>
      </c>
      <c r="X20" s="530"/>
      <c r="Y20" s="530"/>
      <c r="Z20" s="530"/>
    </row>
    <row r="21" spans="1:26" ht="21.95" customHeight="1" thickBot="1" x14ac:dyDescent="0.25">
      <c r="A21" s="949"/>
      <c r="B21" s="489">
        <v>0.4</v>
      </c>
      <c r="C21" s="472">
        <v>330.8</v>
      </c>
      <c r="D21" s="562">
        <v>347.8</v>
      </c>
      <c r="E21" s="487">
        <f t="shared" si="16"/>
        <v>17</v>
      </c>
      <c r="F21" s="457">
        <f t="shared" si="14"/>
        <v>2.6089625537139347</v>
      </c>
      <c r="G21" s="475">
        <f t="shared" si="15"/>
        <v>90.162676488643342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3.0000000000000001E-3</v>
      </c>
      <c r="X21" s="530"/>
      <c r="Y21" s="530"/>
      <c r="Z21" s="530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562">
        <v>392.1</v>
      </c>
      <c r="E22" s="488">
        <f t="shared" si="16"/>
        <v>66</v>
      </c>
      <c r="F22" s="457">
        <f t="shared" si="14"/>
        <v>10.128913443830569</v>
      </c>
      <c r="G22" s="475">
        <f t="shared" si="15"/>
        <v>80.033763044812773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18.333333333333332</v>
      </c>
      <c r="X22" s="530"/>
      <c r="Y22" s="530"/>
      <c r="Z22" s="530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562">
        <v>352.1</v>
      </c>
      <c r="E23" s="487">
        <f t="shared" si="16"/>
        <v>47.700000000000045</v>
      </c>
      <c r="F23" s="457">
        <f t="shared" si="14"/>
        <v>7.3204419889502814</v>
      </c>
      <c r="G23" s="490">
        <f t="shared" si="15"/>
        <v>72.713321055862494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26" ht="21.95" customHeight="1" thickBot="1" x14ac:dyDescent="0.3">
      <c r="A24" s="951"/>
      <c r="B24" s="491">
        <v>6.3E-2</v>
      </c>
      <c r="C24" s="472">
        <v>313.7</v>
      </c>
      <c r="D24" s="562">
        <v>340.8</v>
      </c>
      <c r="E24" s="488">
        <f t="shared" si="16"/>
        <v>27.100000000000023</v>
      </c>
      <c r="F24" s="492">
        <f t="shared" si="14"/>
        <v>4.1589932473910398</v>
      </c>
      <c r="G24" s="493">
        <f t="shared" si="15"/>
        <v>68.554327808471456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1.0753199999999997E-7</v>
      </c>
      <c r="X24" s="530"/>
      <c r="Y24" s="530"/>
      <c r="Z24" s="530"/>
    </row>
    <row r="25" spans="1:26" ht="21.95" customHeight="1" thickBot="1" x14ac:dyDescent="0.3">
      <c r="A25" s="818"/>
      <c r="B25" s="476" t="s">
        <v>14</v>
      </c>
      <c r="C25" s="495">
        <v>367.5</v>
      </c>
      <c r="D25" s="563">
        <v>367.4</v>
      </c>
      <c r="E25" s="496">
        <f>D25-C25+(G6-C26)</f>
        <v>446.70000000000005</v>
      </c>
      <c r="F25" s="457">
        <f>E25/$E$26*100</f>
        <v>68.554327808471456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26" ht="21.95" customHeight="1" x14ac:dyDescent="0.2">
      <c r="A26" s="952" t="s">
        <v>40</v>
      </c>
      <c r="B26" s="953"/>
      <c r="C26" s="497">
        <v>205.9</v>
      </c>
      <c r="D26" s="498" t="s">
        <v>19</v>
      </c>
      <c r="E26" s="499">
        <f>SUM(E12:E25)</f>
        <v>651.60000000000014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1.16E-3</v>
      </c>
      <c r="X26" s="533"/>
      <c r="Y26" s="530"/>
      <c r="Z26" s="530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1.0999999999999091</v>
      </c>
      <c r="F27" s="505">
        <f>IF((E27/G6*100)&gt;1,"Fehler zu groß",(E27/G6*100))</f>
        <v>0.16853071855368607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7.65252E-9</v>
      </c>
      <c r="X27" s="551" t="str">
        <f>IF(W22&lt;5.000001,"OK","U größer 5")</f>
        <v>U größer 5</v>
      </c>
      <c r="Y27" s="530"/>
      <c r="Z27" s="530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817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17" t="s">
        <v>45</v>
      </c>
      <c r="B33" s="817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733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817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817" t="s">
        <v>36</v>
      </c>
      <c r="B35" s="518"/>
      <c r="C35" s="518"/>
      <c r="D35" s="518"/>
      <c r="E35" s="519"/>
      <c r="F35" s="520">
        <v>36.71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338</v>
      </c>
      <c r="X35" s="530"/>
      <c r="Y35" s="530"/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4.3749948408079709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(W24)</f>
        <v>1.0753199999999997E-7</v>
      </c>
      <c r="W36" s="838">
        <v>6.9090000000000003E-7</v>
      </c>
      <c r="X36" s="530"/>
      <c r="Y36" s="530"/>
      <c r="Z36" s="530"/>
    </row>
    <row r="37" spans="1:26" x14ac:dyDescent="0.2">
      <c r="U37" s="530"/>
      <c r="V37" s="530"/>
      <c r="W37" s="530"/>
      <c r="X37" s="530"/>
      <c r="Y37" s="530"/>
      <c r="Z37" s="530"/>
    </row>
    <row r="38" spans="1:26" x14ac:dyDescent="0.2">
      <c r="I38" s="372">
        <f>SUM(F12:F14)/30</f>
        <v>7.724575404133413E-2</v>
      </c>
    </row>
    <row r="39" spans="1:26" x14ac:dyDescent="0.2">
      <c r="I39" s="372">
        <f>F15/10</f>
        <v>0.17188459177409449</v>
      </c>
    </row>
    <row r="40" spans="1:26" x14ac:dyDescent="0.2">
      <c r="I40" s="372">
        <f>F16/6.3</f>
        <v>4.628411626569949E-2</v>
      </c>
    </row>
    <row r="41" spans="1:26" x14ac:dyDescent="0.2">
      <c r="I41" s="372">
        <f>F17/4</f>
        <v>7.6734192756292188E-2</v>
      </c>
    </row>
    <row r="42" spans="1:26" x14ac:dyDescent="0.2">
      <c r="I42" s="372">
        <f>F18/2</f>
        <v>0.19950890116636144</v>
      </c>
    </row>
    <row r="43" spans="1:26" x14ac:dyDescent="0.2">
      <c r="I43" s="372">
        <f>F19/1</f>
        <v>0.70595457335788292</v>
      </c>
    </row>
    <row r="44" spans="1:26" x14ac:dyDescent="0.2">
      <c r="I44" s="372">
        <f>F20/0.63</f>
        <v>2.362925935669947</v>
      </c>
    </row>
    <row r="45" spans="1:26" x14ac:dyDescent="0.2">
      <c r="I45" s="372">
        <f>F21/0.4</f>
        <v>6.5224063842848361</v>
      </c>
    </row>
    <row r="46" spans="1:26" x14ac:dyDescent="0.2">
      <c r="I46" s="372">
        <f>F22/0.2</f>
        <v>50.644567219152847</v>
      </c>
    </row>
    <row r="47" spans="1:26" x14ac:dyDescent="0.2">
      <c r="I47" s="372">
        <f>F23/0.1</f>
        <v>73.204419889502816</v>
      </c>
    </row>
    <row r="48" spans="1:26" x14ac:dyDescent="0.2">
      <c r="I48" s="372">
        <f>F24/0.063</f>
        <v>66.015765831603801</v>
      </c>
    </row>
    <row r="49" spans="7:9" x14ac:dyDescent="0.2">
      <c r="I49" s="372">
        <f>F25/0.01</f>
        <v>6855.4327808471453</v>
      </c>
    </row>
    <row r="50" spans="7:9" x14ac:dyDescent="0.2">
      <c r="G50" s="372" t="s">
        <v>342</v>
      </c>
      <c r="I50" s="372">
        <f>SUM(I38:I49)</f>
        <v>7055.4604782367214</v>
      </c>
    </row>
    <row r="51" spans="7:9" x14ac:dyDescent="0.2">
      <c r="G51" s="372" t="s">
        <v>340</v>
      </c>
      <c r="I51" s="372">
        <f>100/I50</f>
        <v>1.4173419340730499E-2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9"/>
  <dimension ref="A1:AE51"/>
  <sheetViews>
    <sheetView topLeftCell="R6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100</v>
      </c>
      <c r="D3" s="580" t="s">
        <v>25</v>
      </c>
      <c r="E3" s="582">
        <v>39850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1.0125</v>
      </c>
      <c r="M4" s="602">
        <f t="shared" ref="M4:M10" si="0">(L4-1)*1000</f>
        <v>12.499999999999956</v>
      </c>
      <c r="N4" s="602">
        <f>M4+$G$33</f>
        <v>13.999999999999901</v>
      </c>
      <c r="O4" s="605">
        <v>-0.2</v>
      </c>
      <c r="P4" s="606">
        <f t="shared" ref="P4:P10" si="1">N4+O4</f>
        <v>13.799999999999901</v>
      </c>
      <c r="Q4" s="607">
        <f>((18.35*V4/($F$34-W4))*Z4)^0.5</f>
        <v>7.5598392956532673E-2</v>
      </c>
      <c r="R4" s="602">
        <f t="shared" ref="R4:R10" si="2">$F$36*P4</f>
        <v>70.787723933683182</v>
      </c>
      <c r="S4" s="608">
        <f t="shared" ref="S4:S10" si="3">$G$24/100*R4</f>
        <v>21.91332817508621</v>
      </c>
      <c r="T4" s="530">
        <f>(S4/S$13)*S$4</f>
        <v>4.8853623395184291</v>
      </c>
      <c r="U4" s="609">
        <f>1+0.001*N4</f>
        <v>1.0139999999999998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6.6284800000000983</v>
      </c>
      <c r="Y4" s="612">
        <f t="shared" ref="Y4:Y12" si="4">X4+$AB$5+0.5*($AC$5-$AD$5/$AE$5)</f>
        <v>15.034485387853023</v>
      </c>
      <c r="Z4" s="613">
        <f t="shared" ref="Z4:Z12" si="5">Y4/I4</f>
        <v>0.50114951292843413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135</v>
      </c>
      <c r="D5" s="617"/>
      <c r="E5" s="618" t="s">
        <v>4</v>
      </c>
      <c r="F5" s="619" t="s">
        <v>125</v>
      </c>
      <c r="G5" s="620"/>
      <c r="I5" s="601">
        <f>J5*60</f>
        <v>60</v>
      </c>
      <c r="J5" s="621">
        <v>1</v>
      </c>
      <c r="K5" s="603">
        <v>19</v>
      </c>
      <c r="L5" s="604">
        <v>1.01</v>
      </c>
      <c r="M5" s="602">
        <f t="shared" si="0"/>
        <v>10.000000000000009</v>
      </c>
      <c r="N5" s="602">
        <f t="shared" ref="N5:N12" si="6">M5+$G$33</f>
        <v>11.499999999999954</v>
      </c>
      <c r="O5" s="605">
        <v>-0.2</v>
      </c>
      <c r="P5" s="606">
        <f t="shared" si="1"/>
        <v>11.299999999999955</v>
      </c>
      <c r="Q5" s="607">
        <f t="shared" ref="Q5:Q12" si="7">((18.35*V5/($F$34-W5))*Z5)^0.5</f>
        <v>5.5266724437644778E-2</v>
      </c>
      <c r="R5" s="602">
        <f t="shared" si="2"/>
        <v>57.963860902219025</v>
      </c>
      <c r="S5" s="608">
        <f t="shared" si="3"/>
        <v>17.943522346266302</v>
      </c>
      <c r="T5" s="530">
        <f t="shared" ref="T5:T12" si="8">(S5/S$13)*S$4</f>
        <v>4.0003329301853929</v>
      </c>
      <c r="U5" s="609">
        <f t="shared" ref="U5:U12" si="9">1+0.001*N5</f>
        <v>1.0114999999999998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7.6641800000000755</v>
      </c>
      <c r="Y5" s="612">
        <f t="shared" si="4"/>
        <v>16.070185387853002</v>
      </c>
      <c r="Z5" s="613">
        <f t="shared" si="5"/>
        <v>0.26783642313088335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28.463143600788879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416.2</v>
      </c>
      <c r="I6" s="601">
        <f t="shared" ref="I6:I12" si="13">J6*60</f>
        <v>120</v>
      </c>
      <c r="J6" s="621">
        <v>2</v>
      </c>
      <c r="K6" s="603">
        <v>19</v>
      </c>
      <c r="L6" s="604">
        <v>1.0085</v>
      </c>
      <c r="M6" s="602">
        <f t="shared" si="0"/>
        <v>8.499999999999952</v>
      </c>
      <c r="N6" s="602">
        <f t="shared" si="6"/>
        <v>9.999999999999897</v>
      </c>
      <c r="O6" s="605">
        <v>-0.2</v>
      </c>
      <c r="P6" s="606">
        <f t="shared" si="1"/>
        <v>9.7999999999998977</v>
      </c>
      <c r="Q6" s="607">
        <f t="shared" si="7"/>
        <v>3.9827893635135968E-2</v>
      </c>
      <c r="R6" s="602">
        <f t="shared" si="2"/>
        <v>50.269543083340068</v>
      </c>
      <c r="S6" s="608">
        <f t="shared" si="3"/>
        <v>15.561638848974216</v>
      </c>
      <c r="T6" s="530">
        <f t="shared" si="8"/>
        <v>3.4693152845855399</v>
      </c>
      <c r="U6" s="609">
        <f t="shared" si="9"/>
        <v>1.0099999999999998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8.2856000000001</v>
      </c>
      <c r="Y6" s="612">
        <f t="shared" si="4"/>
        <v>16.691605387853024</v>
      </c>
      <c r="Z6" s="613">
        <f t="shared" si="5"/>
        <v>0.13909671156544187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1.006</v>
      </c>
      <c r="M7" s="602">
        <f t="shared" si="0"/>
        <v>6.0000000000000053</v>
      </c>
      <c r="N7" s="602">
        <f t="shared" si="6"/>
        <v>7.4999999999999512</v>
      </c>
      <c r="O7" s="605">
        <v>-0.2</v>
      </c>
      <c r="P7" s="606">
        <f t="shared" si="1"/>
        <v>7.299999999999951</v>
      </c>
      <c r="Q7" s="607">
        <f t="shared" si="7"/>
        <v>2.5959100693532536E-2</v>
      </c>
      <c r="R7" s="602">
        <f t="shared" si="2"/>
        <v>37.445680051875904</v>
      </c>
      <c r="S7" s="608">
        <f t="shared" si="3"/>
        <v>11.591833020154306</v>
      </c>
      <c r="T7" s="530">
        <f t="shared" si="8"/>
        <v>2.5842858752525038</v>
      </c>
      <c r="U7" s="609">
        <f t="shared" si="9"/>
        <v>1.0074999999999998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9.3213000000000772</v>
      </c>
      <c r="Y7" s="612">
        <f t="shared" si="4"/>
        <v>17.727305387853001</v>
      </c>
      <c r="Z7" s="613">
        <f t="shared" si="5"/>
        <v>5.9091017959510002E-2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1.004</v>
      </c>
      <c r="M8" s="602">
        <f t="shared" si="0"/>
        <v>4.0000000000000036</v>
      </c>
      <c r="N8" s="602">
        <f t="shared" si="6"/>
        <v>5.4999999999999494</v>
      </c>
      <c r="O8" s="605">
        <v>-0.2</v>
      </c>
      <c r="P8" s="606">
        <f t="shared" si="1"/>
        <v>5.2999999999999492</v>
      </c>
      <c r="Q8" s="607">
        <f t="shared" si="7"/>
        <v>1.5333745793932005E-2</v>
      </c>
      <c r="R8" s="602">
        <f t="shared" si="2"/>
        <v>27.186589626704347</v>
      </c>
      <c r="S8" s="608">
        <f t="shared" si="3"/>
        <v>8.4159883570983069</v>
      </c>
      <c r="T8" s="530">
        <f t="shared" si="8"/>
        <v>1.8762623477860585</v>
      </c>
      <c r="U8" s="609">
        <f t="shared" si="9"/>
        <v>1.0055000000000001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10.149859999999986</v>
      </c>
      <c r="Y8" s="612">
        <f t="shared" si="4"/>
        <v>18.555865387852911</v>
      </c>
      <c r="Z8" s="613">
        <f t="shared" si="5"/>
        <v>2.0617628208725456E-2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1.0029999999999999</v>
      </c>
      <c r="M9" s="602">
        <f t="shared" si="0"/>
        <v>2.9999999999998916</v>
      </c>
      <c r="N9" s="602">
        <f t="shared" si="6"/>
        <v>4.4999999999998375</v>
      </c>
      <c r="O9" s="605">
        <v>-0.2</v>
      </c>
      <c r="P9" s="606">
        <f t="shared" si="1"/>
        <v>4.2999999999998373</v>
      </c>
      <c r="Q9" s="607">
        <f t="shared" si="7"/>
        <v>8.9512225479086872E-3</v>
      </c>
      <c r="R9" s="602">
        <f t="shared" si="2"/>
        <v>22.057044414117996</v>
      </c>
      <c r="S9" s="608">
        <f t="shared" si="3"/>
        <v>6.8280660255701315</v>
      </c>
      <c r="T9" s="530">
        <f t="shared" si="8"/>
        <v>1.5222505840527971</v>
      </c>
      <c r="U9" s="609">
        <f t="shared" si="9"/>
        <v>1.0044999999999997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10.564140000000126</v>
      </c>
      <c r="Y9" s="612">
        <f t="shared" si="4"/>
        <v>18.970145387853051</v>
      </c>
      <c r="Z9" s="613">
        <f t="shared" si="5"/>
        <v>7.0259797732789078E-3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1.0024999999999999</v>
      </c>
      <c r="M10" s="602">
        <f t="shared" si="0"/>
        <v>2.4999999999999467</v>
      </c>
      <c r="N10" s="602">
        <f t="shared" si="6"/>
        <v>3.9999999999998925</v>
      </c>
      <c r="O10" s="605">
        <v>-0.2</v>
      </c>
      <c r="P10" s="606">
        <f t="shared" si="1"/>
        <v>3.7999999999998924</v>
      </c>
      <c r="Q10" s="607">
        <f t="shared" si="7"/>
        <v>5.5113275728650877E-3</v>
      </c>
      <c r="R10" s="602">
        <f t="shared" si="2"/>
        <v>19.492271807825393</v>
      </c>
      <c r="S10" s="608">
        <f t="shared" si="3"/>
        <v>6.034104859806221</v>
      </c>
      <c r="T10" s="530">
        <f t="shared" si="8"/>
        <v>1.3452447021862057</v>
      </c>
      <c r="U10" s="609">
        <f t="shared" si="9"/>
        <v>1.004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10.77128000000001</v>
      </c>
      <c r="Y10" s="612">
        <f t="shared" si="4"/>
        <v>19.177285387852933</v>
      </c>
      <c r="Z10" s="613">
        <f t="shared" si="5"/>
        <v>2.6635118594240184E-3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1.002</v>
      </c>
      <c r="M11" s="602">
        <f>(L11-1)*1000</f>
        <v>2.0000000000000018</v>
      </c>
      <c r="N11" s="602">
        <f t="shared" si="6"/>
        <v>3.4999999999999476</v>
      </c>
      <c r="O11" s="605">
        <v>-0.2</v>
      </c>
      <c r="P11" s="606">
        <f>N11+O11</f>
        <v>3.2999999999999474</v>
      </c>
      <c r="Q11" s="607">
        <f t="shared" si="7"/>
        <v>3.1991050215919989E-3</v>
      </c>
      <c r="R11" s="602">
        <f>$F$36*P11</f>
        <v>16.927499201532786</v>
      </c>
      <c r="S11" s="608">
        <f>$G$24/100*R11</f>
        <v>5.2401436940423087</v>
      </c>
      <c r="T11" s="530">
        <f t="shared" si="8"/>
        <v>1.1682388203196139</v>
      </c>
      <c r="U11" s="609">
        <f t="shared" si="9"/>
        <v>1.0034999999999998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10.97842000000008</v>
      </c>
      <c r="Y11" s="612">
        <f t="shared" si="4"/>
        <v>19.384425387853003</v>
      </c>
      <c r="Z11" s="613">
        <f t="shared" si="5"/>
        <v>8.9742710128949091E-4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725">
        <v>20</v>
      </c>
      <c r="L12" s="660">
        <v>1.0015000000000001</v>
      </c>
      <c r="M12" s="661">
        <f>(L12-1)*1000</f>
        <v>1.5000000000000568</v>
      </c>
      <c r="N12" s="661">
        <f t="shared" si="6"/>
        <v>3.0000000000000027</v>
      </c>
      <c r="O12" s="726">
        <v>0</v>
      </c>
      <c r="P12" s="662">
        <f>N12+O12</f>
        <v>3.0000000000000027</v>
      </c>
      <c r="Q12" s="663">
        <f t="shared" si="7"/>
        <v>1.5877489772083101E-3</v>
      </c>
      <c r="R12" s="661">
        <f>$F$36*P12</f>
        <v>15.388635637757339</v>
      </c>
      <c r="S12" s="664">
        <f>$G$24/100*R12</f>
        <v>4.7637669945839978</v>
      </c>
      <c r="T12" s="530">
        <f t="shared" si="8"/>
        <v>1.0620352911996671</v>
      </c>
      <c r="U12" s="609">
        <f t="shared" si="9"/>
        <v>1.0030000000000001</v>
      </c>
      <c r="V12" s="610">
        <f t="shared" si="10"/>
        <v>1.0102156640181611E-3</v>
      </c>
      <c r="W12" s="609">
        <f t="shared" si="11"/>
        <v>0.98259200696775639</v>
      </c>
      <c r="X12" s="611">
        <f t="shared" si="12"/>
        <v>11.185559999999963</v>
      </c>
      <c r="Y12" s="612">
        <f t="shared" si="4"/>
        <v>19.591565387852889</v>
      </c>
      <c r="Z12" s="613">
        <f t="shared" si="5"/>
        <v>2.2675422902607509E-4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26.1</v>
      </c>
      <c r="E13" s="668">
        <f>D13</f>
        <v>26.1</v>
      </c>
      <c r="F13" s="651">
        <f t="shared" si="14"/>
        <v>6.287641532160924</v>
      </c>
      <c r="G13" s="669">
        <f t="shared" si="15"/>
        <v>93.712358467839081</v>
      </c>
      <c r="S13" s="530">
        <f>SUM(S4:S12)</f>
        <v>98.292392321582014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0</v>
      </c>
      <c r="E14" s="668">
        <f>D14</f>
        <v>0</v>
      </c>
      <c r="F14" s="651">
        <f t="shared" si="14"/>
        <v>0</v>
      </c>
      <c r="G14" s="669">
        <f t="shared" si="15"/>
        <v>93.712358467839081</v>
      </c>
      <c r="T14" s="530">
        <f>T4*1.3</f>
        <v>6.350971041373958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27.5</v>
      </c>
      <c r="E15" s="656">
        <f>D15</f>
        <v>27.5</v>
      </c>
      <c r="F15" s="673">
        <f t="shared" si="14"/>
        <v>6.624909660322813</v>
      </c>
      <c r="G15" s="674">
        <f t="shared" si="15"/>
        <v>87.087448807516267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T15" s="530">
        <f t="shared" ref="T15:T21" si="16">T5*1.3</f>
        <v>5.2004328092410113</v>
      </c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638.20000000000005</v>
      </c>
      <c r="E16" s="678">
        <f>D16-C16</f>
        <v>7.8000000000000682</v>
      </c>
      <c r="F16" s="651">
        <f t="shared" si="14"/>
        <v>1.8790652854733958</v>
      </c>
      <c r="G16" s="657">
        <f t="shared" si="15"/>
        <v>85.208383522042865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T16" s="530">
        <f t="shared" si="16"/>
        <v>4.5101098699612017</v>
      </c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530.79999999999995</v>
      </c>
      <c r="E17" s="681">
        <f t="shared" ref="E17:E24" si="17">D17-C17</f>
        <v>11.5</v>
      </c>
      <c r="F17" s="651">
        <f t="shared" si="14"/>
        <v>2.7704167670440856</v>
      </c>
      <c r="G17" s="669">
        <f t="shared" si="15"/>
        <v>82.437966754998783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T17" s="530">
        <f t="shared" si="16"/>
        <v>3.359571637828255</v>
      </c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518.70000000000005</v>
      </c>
      <c r="E18" s="682">
        <f t="shared" si="17"/>
        <v>12.500000000000057</v>
      </c>
      <c r="F18" s="651">
        <f t="shared" si="14"/>
        <v>3.0113225728740192</v>
      </c>
      <c r="G18" s="669">
        <f t="shared" si="15"/>
        <v>79.426644182124761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T18" s="530">
        <f t="shared" si="16"/>
        <v>2.4391410521218759</v>
      </c>
    </row>
    <row r="19" spans="1:26" ht="21.95" customHeight="1" x14ac:dyDescent="0.2">
      <c r="A19" s="986"/>
      <c r="B19" s="679">
        <v>1</v>
      </c>
      <c r="C19" s="666">
        <v>383.8</v>
      </c>
      <c r="D19" s="680">
        <v>393.1</v>
      </c>
      <c r="E19" s="681">
        <f t="shared" si="17"/>
        <v>9.3000000000000114</v>
      </c>
      <c r="F19" s="651">
        <f t="shared" si="14"/>
        <v>2.2404239942182631</v>
      </c>
      <c r="G19" s="669">
        <f t="shared" si="15"/>
        <v>77.1862201879065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T19" s="530">
        <f t="shared" si="16"/>
        <v>1.9789257592686362</v>
      </c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389.2</v>
      </c>
      <c r="E20" s="682">
        <f t="shared" si="17"/>
        <v>13</v>
      </c>
      <c r="F20" s="651">
        <f t="shared" si="14"/>
        <v>3.1317754757889658</v>
      </c>
      <c r="G20" s="669">
        <f t="shared" si="15"/>
        <v>74.05444471211753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T20" s="530">
        <f t="shared" si="16"/>
        <v>1.7488181128420675</v>
      </c>
      <c r="V20" s="538" t="s">
        <v>107</v>
      </c>
      <c r="W20" s="539">
        <v>0.28499999999999998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354.6</v>
      </c>
      <c r="E21" s="681">
        <f t="shared" si="17"/>
        <v>23.800000000000011</v>
      </c>
      <c r="F21" s="651">
        <f t="shared" si="14"/>
        <v>5.7335581787521095</v>
      </c>
      <c r="G21" s="669">
        <f t="shared" si="15"/>
        <v>68.320886533365424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T21" s="530">
        <f t="shared" si="16"/>
        <v>1.5187104664154982</v>
      </c>
      <c r="V21" s="538" t="s">
        <v>108</v>
      </c>
      <c r="W21" s="539">
        <v>0.02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397.5</v>
      </c>
      <c r="E22" s="682">
        <f t="shared" si="17"/>
        <v>71.399999999999977</v>
      </c>
      <c r="F22" s="651">
        <f t="shared" si="14"/>
        <v>17.200674536256315</v>
      </c>
      <c r="G22" s="669">
        <f t="shared" si="15"/>
        <v>51.120211997109109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T22" s="530">
        <f>T12*1.3</f>
        <v>1.3806458785595672</v>
      </c>
      <c r="U22" s="540" t="s">
        <v>119</v>
      </c>
      <c r="V22" s="541" t="s">
        <v>106</v>
      </c>
      <c r="W22" s="542">
        <f>W20/W21</f>
        <v>14.249999999999998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352.9</v>
      </c>
      <c r="E23" s="681">
        <f t="shared" si="17"/>
        <v>48.5</v>
      </c>
      <c r="F23" s="651">
        <f t="shared" si="14"/>
        <v>11.683931582751143</v>
      </c>
      <c r="G23" s="684">
        <f t="shared" si="15"/>
        <v>39.436280414357967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348.9</v>
      </c>
      <c r="E24" s="682">
        <f t="shared" si="17"/>
        <v>35.199999999999989</v>
      </c>
      <c r="F24" s="686">
        <f t="shared" si="14"/>
        <v>8.4798843652131968</v>
      </c>
      <c r="G24" s="687">
        <f t="shared" si="15"/>
        <v>30.956396049144772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4.7791999999999991E-6</v>
      </c>
    </row>
    <row r="25" spans="1:26" ht="21.95" customHeight="1" thickBot="1" x14ac:dyDescent="0.3">
      <c r="A25" s="730"/>
      <c r="B25" s="670" t="s">
        <v>14</v>
      </c>
      <c r="C25" s="689">
        <v>367.5</v>
      </c>
      <c r="D25" s="690">
        <v>370.4</v>
      </c>
      <c r="E25" s="691">
        <f>D25-C25+(G6-C26)</f>
        <v>128.49999999999994</v>
      </c>
      <c r="F25" s="651">
        <f t="shared" si="14"/>
        <v>30.956396049144765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290.60000000000002</v>
      </c>
      <c r="D26" s="693" t="s">
        <v>19</v>
      </c>
      <c r="E26" s="694">
        <f>SUM(E12:E25)</f>
        <v>415.10000000000008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1.0999999999999091</v>
      </c>
      <c r="F27" s="700">
        <f>IF((E27/G6*100)&gt;1,"Fehler zu groß",(E27/G6*100))</f>
        <v>0.264296011532895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3.40112E-7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>
        <v>6.02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733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>
        <v>31.31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336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5.129545212585775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4.7791999999999991E-6</v>
      </c>
      <c r="W36" s="838">
        <v>2.0229999999999999E-6</v>
      </c>
    </row>
    <row r="38" spans="1:26" x14ac:dyDescent="0.2">
      <c r="I38" s="530">
        <f>SUM(F12:F14)/30</f>
        <v>0.2095880510720308</v>
      </c>
    </row>
    <row r="39" spans="1:26" x14ac:dyDescent="0.2">
      <c r="I39" s="530">
        <f>F15/10</f>
        <v>0.6624909660322813</v>
      </c>
    </row>
    <row r="40" spans="1:26" x14ac:dyDescent="0.2">
      <c r="I40" s="530">
        <f>F16/6.3</f>
        <v>0.29826433102752314</v>
      </c>
    </row>
    <row r="41" spans="1:26" x14ac:dyDescent="0.2">
      <c r="I41" s="530">
        <f>F17/4</f>
        <v>0.69260419176102139</v>
      </c>
    </row>
    <row r="42" spans="1:26" x14ac:dyDescent="0.2">
      <c r="I42" s="530">
        <f>F18/2</f>
        <v>1.5056612864370096</v>
      </c>
    </row>
    <row r="43" spans="1:26" x14ac:dyDescent="0.2">
      <c r="I43" s="530">
        <f>F19/1</f>
        <v>2.2404239942182631</v>
      </c>
    </row>
    <row r="44" spans="1:26" x14ac:dyDescent="0.2">
      <c r="I44" s="530">
        <f>F20/0.63</f>
        <v>4.9710721837920087</v>
      </c>
    </row>
    <row r="45" spans="1:26" x14ac:dyDescent="0.2">
      <c r="I45" s="530">
        <f>F21/0.4</f>
        <v>14.333895446880273</v>
      </c>
    </row>
    <row r="46" spans="1:26" x14ac:dyDescent="0.2">
      <c r="I46" s="530">
        <f>F22/0.2</f>
        <v>86.003372681281576</v>
      </c>
    </row>
    <row r="47" spans="1:26" x14ac:dyDescent="0.2">
      <c r="I47" s="530">
        <f>F23/0.1</f>
        <v>116.83931582751143</v>
      </c>
    </row>
    <row r="48" spans="1:26" x14ac:dyDescent="0.2">
      <c r="I48" s="530">
        <f>F24/0.063</f>
        <v>134.60133913036819</v>
      </c>
    </row>
    <row r="49" spans="7:9" x14ac:dyDescent="0.2">
      <c r="I49" s="530">
        <f>F25/0.01</f>
        <v>3095.6396049144764</v>
      </c>
    </row>
    <row r="50" spans="7:9" x14ac:dyDescent="0.2">
      <c r="G50" s="530" t="s">
        <v>342</v>
      </c>
      <c r="I50" s="530">
        <f>SUM(I38:I49)</f>
        <v>3457.997633004858</v>
      </c>
    </row>
    <row r="51" spans="7:9" x14ac:dyDescent="0.2">
      <c r="G51" s="530" t="s">
        <v>340</v>
      </c>
      <c r="I51" s="530">
        <f>100/I50</f>
        <v>2.8918469765725114E-2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0"/>
  <dimension ref="A1:AE36"/>
  <sheetViews>
    <sheetView topLeftCell="S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101</v>
      </c>
      <c r="D3" s="580" t="s">
        <v>25</v>
      </c>
      <c r="E3" s="582">
        <v>39850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4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1.0165</v>
      </c>
      <c r="M4" s="602">
        <f t="shared" ref="M4:M10" si="0">(L4-1)*1000</f>
        <v>16.499999999999957</v>
      </c>
      <c r="N4" s="602">
        <f>M4+$G$33</f>
        <v>17.999999999999904</v>
      </c>
      <c r="O4" s="605">
        <v>-0.2</v>
      </c>
      <c r="P4" s="606">
        <f t="shared" ref="P4:P10" si="1">N4+O4</f>
        <v>17.799999999999905</v>
      </c>
      <c r="Q4" s="607">
        <f>((18.35*V4/($F$34-W4))*Z4)^0.5</f>
        <v>7.1310515280523942E-2</v>
      </c>
      <c r="R4" s="602">
        <f t="shared" ref="R4:R10" si="2">$F$36*P4</f>
        <v>87.158167036215346</v>
      </c>
      <c r="S4" s="608">
        <f t="shared" ref="S4:S10" si="3">$G$24/100*R4</f>
        <v>42.348035961098986</v>
      </c>
      <c r="T4" s="530">
        <f>(S4/S$13)*S$4</f>
        <v>8.4982529888113021</v>
      </c>
      <c r="U4" s="609">
        <f>1+0.001*N4</f>
        <v>1.0179999999999998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4.9713600000000966</v>
      </c>
      <c r="Y4" s="612">
        <f t="shared" ref="Y4:Y12" si="4">X4+$AB$5+0.5*($AC$5-$AD$5/$AE$5)</f>
        <v>13.377365387853022</v>
      </c>
      <c r="Z4" s="613">
        <f t="shared" ref="Z4:Z12" si="5">Y4/I4</f>
        <v>0.44591217959510071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136</v>
      </c>
      <c r="D5" s="617"/>
      <c r="E5" s="618" t="s">
        <v>4</v>
      </c>
      <c r="F5" s="619" t="s">
        <v>125</v>
      </c>
      <c r="G5" s="620"/>
      <c r="I5" s="601">
        <f>J5*60</f>
        <v>60</v>
      </c>
      <c r="J5" s="621">
        <v>1</v>
      </c>
      <c r="K5" s="603">
        <v>19</v>
      </c>
      <c r="L5" s="604">
        <v>1.0155000000000001</v>
      </c>
      <c r="M5" s="602">
        <f t="shared" si="0"/>
        <v>15.500000000000069</v>
      </c>
      <c r="N5" s="602">
        <f t="shared" ref="N5:N12" si="6">M5+$G$33</f>
        <v>17.000000000000014</v>
      </c>
      <c r="O5" s="605">
        <v>-0.2</v>
      </c>
      <c r="P5" s="606">
        <f t="shared" si="1"/>
        <v>16.800000000000015</v>
      </c>
      <c r="Q5" s="607">
        <f t="shared" ref="Q5:Q12" si="7">((18.35*V5/($F$34-W5))*Z5)^0.5</f>
        <v>5.1198981662641217E-2</v>
      </c>
      <c r="R5" s="602">
        <f t="shared" si="2"/>
        <v>82.261640798226239</v>
      </c>
      <c r="S5" s="608">
        <f t="shared" si="3"/>
        <v>39.968932817217272</v>
      </c>
      <c r="T5" s="530">
        <f t="shared" ref="T5:T12" si="8">(S5/S$13)*S$4</f>
        <v>8.0208230456197054</v>
      </c>
      <c r="U5" s="609">
        <f t="shared" ref="U5:U12" si="9">1+0.001*N5</f>
        <v>1.0169999999999999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5.3856400000000511</v>
      </c>
      <c r="Y5" s="612">
        <f t="shared" si="4"/>
        <v>13.791645387852975</v>
      </c>
      <c r="Z5" s="613">
        <f t="shared" si="5"/>
        <v>0.22986075646421625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28.463143600788879</v>
      </c>
    </row>
    <row r="6" spans="1:31" ht="20.100000000000001" customHeight="1" x14ac:dyDescent="0.35">
      <c r="A6" s="626" t="s">
        <v>28</v>
      </c>
      <c r="B6" s="627"/>
      <c r="C6" s="616">
        <v>6.3</v>
      </c>
      <c r="D6" s="628"/>
      <c r="E6" s="596" t="s">
        <v>41</v>
      </c>
      <c r="F6" s="629"/>
      <c r="G6" s="630">
        <v>372.1</v>
      </c>
      <c r="I6" s="601">
        <f t="shared" ref="I6:I12" si="13">J6*60</f>
        <v>120</v>
      </c>
      <c r="J6" s="621">
        <v>2</v>
      </c>
      <c r="K6" s="603">
        <v>19</v>
      </c>
      <c r="L6" s="604">
        <v>1.014</v>
      </c>
      <c r="M6" s="602">
        <f t="shared" si="0"/>
        <v>14.000000000000012</v>
      </c>
      <c r="N6" s="602">
        <f t="shared" si="6"/>
        <v>15.499999999999957</v>
      </c>
      <c r="O6" s="605">
        <v>-0.2</v>
      </c>
      <c r="P6" s="606">
        <f t="shared" si="1"/>
        <v>15.299999999999958</v>
      </c>
      <c r="Q6" s="607">
        <f t="shared" si="7"/>
        <v>3.7009776519511151E-2</v>
      </c>
      <c r="R6" s="602">
        <f t="shared" si="2"/>
        <v>74.916851441241477</v>
      </c>
      <c r="S6" s="608">
        <f t="shared" si="3"/>
        <v>36.400278101394164</v>
      </c>
      <c r="T6" s="530">
        <f t="shared" si="8"/>
        <v>7.3046781308322046</v>
      </c>
      <c r="U6" s="609">
        <f t="shared" si="9"/>
        <v>1.0154999999999998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6.0070600000000747</v>
      </c>
      <c r="Y6" s="612">
        <f t="shared" si="4"/>
        <v>14.413065387852999</v>
      </c>
      <c r="Z6" s="613">
        <f t="shared" si="5"/>
        <v>0.12010887823210832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1.0109999999999999</v>
      </c>
      <c r="M7" s="602">
        <f t="shared" si="0"/>
        <v>10.999999999999899</v>
      </c>
      <c r="N7" s="602">
        <f t="shared" si="6"/>
        <v>12.499999999999844</v>
      </c>
      <c r="O7" s="605">
        <v>-0.2</v>
      </c>
      <c r="P7" s="606">
        <f t="shared" si="1"/>
        <v>12.299999999999844</v>
      </c>
      <c r="Q7" s="607">
        <f t="shared" si="7"/>
        <v>2.4395368009366081E-2</v>
      </c>
      <c r="R7" s="602">
        <f t="shared" si="2"/>
        <v>60.227272727271966</v>
      </c>
      <c r="S7" s="608">
        <f t="shared" si="3"/>
        <v>29.262968669747963</v>
      </c>
      <c r="T7" s="530">
        <f t="shared" si="8"/>
        <v>5.8723883012572049</v>
      </c>
      <c r="U7" s="609">
        <f t="shared" si="9"/>
        <v>1.0124999999999997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7.2499000000001219</v>
      </c>
      <c r="Y7" s="612">
        <f t="shared" si="4"/>
        <v>15.655905387853046</v>
      </c>
      <c r="Z7" s="613">
        <f t="shared" si="5"/>
        <v>5.2186351292843484E-2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1.008</v>
      </c>
      <c r="M8" s="602">
        <f t="shared" si="0"/>
        <v>8.0000000000000071</v>
      </c>
      <c r="N8" s="602">
        <f t="shared" si="6"/>
        <v>9.4999999999999538</v>
      </c>
      <c r="O8" s="605">
        <v>-0.2</v>
      </c>
      <c r="P8" s="606">
        <f t="shared" si="1"/>
        <v>9.2999999999999545</v>
      </c>
      <c r="Q8" s="607">
        <f t="shared" si="7"/>
        <v>1.463305091696116E-2</v>
      </c>
      <c r="R8" s="602">
        <f t="shared" si="2"/>
        <v>45.537694013303543</v>
      </c>
      <c r="S8" s="608">
        <f t="shared" si="3"/>
        <v>22.125659238102287</v>
      </c>
      <c r="T8" s="530">
        <f t="shared" si="8"/>
        <v>4.4400984716823109</v>
      </c>
      <c r="U8" s="609">
        <f t="shared" si="9"/>
        <v>1.0095000000000001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8.4927399999999853</v>
      </c>
      <c r="Y8" s="612">
        <f t="shared" si="4"/>
        <v>16.898745387852909</v>
      </c>
      <c r="Z8" s="613">
        <f t="shared" si="5"/>
        <v>1.8776383764281011E-2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1.0055000000000001</v>
      </c>
      <c r="M9" s="602">
        <f t="shared" si="0"/>
        <v>5.5000000000000604</v>
      </c>
      <c r="N9" s="602">
        <f t="shared" si="6"/>
        <v>7.0000000000000062</v>
      </c>
      <c r="O9" s="605">
        <v>-0.2</v>
      </c>
      <c r="P9" s="606">
        <f t="shared" si="1"/>
        <v>6.800000000000006</v>
      </c>
      <c r="Q9" s="607">
        <f t="shared" si="7"/>
        <v>8.7034412202390971E-3</v>
      </c>
      <c r="R9" s="602">
        <f t="shared" si="2"/>
        <v>33.296378418329667</v>
      </c>
      <c r="S9" s="608">
        <f t="shared" si="3"/>
        <v>16.177901378397465</v>
      </c>
      <c r="T9" s="530">
        <f t="shared" si="8"/>
        <v>3.2465236137032139</v>
      </c>
      <c r="U9" s="609">
        <f t="shared" si="9"/>
        <v>1.0070000000000001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9.5284399999999643</v>
      </c>
      <c r="Y9" s="612">
        <f t="shared" si="4"/>
        <v>17.93444538785289</v>
      </c>
      <c r="Z9" s="613">
        <f t="shared" si="5"/>
        <v>6.6423871806862555E-3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1.0035000000000001</v>
      </c>
      <c r="M10" s="602">
        <f t="shared" si="0"/>
        <v>3.5000000000000586</v>
      </c>
      <c r="N10" s="602">
        <f t="shared" si="6"/>
        <v>5.0000000000000044</v>
      </c>
      <c r="O10" s="605">
        <v>-0.2</v>
      </c>
      <c r="P10" s="606">
        <f t="shared" si="1"/>
        <v>4.8000000000000043</v>
      </c>
      <c r="Q10" s="607">
        <f t="shared" si="7"/>
        <v>5.4514729396025049E-3</v>
      </c>
      <c r="R10" s="602">
        <f t="shared" si="2"/>
        <v>23.503325942350354</v>
      </c>
      <c r="S10" s="608">
        <f t="shared" si="3"/>
        <v>11.419695090633507</v>
      </c>
      <c r="T10" s="530">
        <f t="shared" si="8"/>
        <v>2.2916637273199161</v>
      </c>
      <c r="U10" s="609">
        <f t="shared" si="9"/>
        <v>1.0049999999999999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10.357000000000056</v>
      </c>
      <c r="Y10" s="612">
        <f t="shared" si="4"/>
        <v>18.763005387852978</v>
      </c>
      <c r="Z10" s="613">
        <f t="shared" si="5"/>
        <v>2.605972970535136E-3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1.002</v>
      </c>
      <c r="M11" s="602">
        <f>(L11-1)*1000</f>
        <v>2.0000000000000018</v>
      </c>
      <c r="N11" s="602">
        <f t="shared" si="6"/>
        <v>3.4999999999999476</v>
      </c>
      <c r="O11" s="605">
        <v>-0.2</v>
      </c>
      <c r="P11" s="606">
        <f>N11+O11</f>
        <v>3.2999999999999474</v>
      </c>
      <c r="Q11" s="607">
        <f t="shared" si="7"/>
        <v>3.1991050215919989E-3</v>
      </c>
      <c r="R11" s="602">
        <f>$F$36*P11</f>
        <v>16.158536585365596</v>
      </c>
      <c r="S11" s="608">
        <f>$G$24/100*R11</f>
        <v>7.8510403748104025</v>
      </c>
      <c r="T11" s="530">
        <f t="shared" si="8"/>
        <v>1.5755188125324155</v>
      </c>
      <c r="U11" s="609">
        <f t="shared" si="9"/>
        <v>1.0034999999999998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10.97842000000008</v>
      </c>
      <c r="Y11" s="612">
        <f t="shared" si="4"/>
        <v>19.384425387853003</v>
      </c>
      <c r="Z11" s="613">
        <f t="shared" si="5"/>
        <v>8.9742710128949091E-4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603">
        <v>19</v>
      </c>
      <c r="L12" s="660">
        <v>1.0009999999999999</v>
      </c>
      <c r="M12" s="661">
        <f>(L12-1)*1000</f>
        <v>0.99999999999988987</v>
      </c>
      <c r="N12" s="661">
        <f t="shared" si="6"/>
        <v>2.4999999999998357</v>
      </c>
      <c r="O12" s="605">
        <v>-0.2</v>
      </c>
      <c r="P12" s="662">
        <f>N12+O12</f>
        <v>2.2999999999998355</v>
      </c>
      <c r="Q12" s="663">
        <f t="shared" si="7"/>
        <v>1.6165548042501277E-3</v>
      </c>
      <c r="R12" s="661">
        <f>$F$36*P12</f>
        <v>11.262010347375396</v>
      </c>
      <c r="S12" s="664">
        <f>$G$24/100*R12</f>
        <v>5.4719372309281589</v>
      </c>
      <c r="T12" s="530">
        <f t="shared" si="8"/>
        <v>1.0980888693407136</v>
      </c>
      <c r="U12" s="609">
        <f t="shared" si="9"/>
        <v>1.0024999999999999</v>
      </c>
      <c r="V12" s="610">
        <f t="shared" si="10"/>
        <v>1.0350522178028982E-3</v>
      </c>
      <c r="W12" s="609">
        <f t="shared" si="11"/>
        <v>0.98451581001991773</v>
      </c>
      <c r="X12" s="611">
        <f t="shared" si="12"/>
        <v>11.392700000000033</v>
      </c>
      <c r="Y12" s="612">
        <f t="shared" si="4"/>
        <v>19.798705387852955</v>
      </c>
      <c r="Z12" s="613">
        <f t="shared" si="5"/>
        <v>2.2915168272977956E-4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211.0264488623302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0</v>
      </c>
      <c r="E14" s="668">
        <f>D14</f>
        <v>0</v>
      </c>
      <c r="F14" s="651">
        <f t="shared" si="14"/>
        <v>0</v>
      </c>
      <c r="G14" s="669">
        <f t="shared" si="15"/>
        <v>100</v>
      </c>
      <c r="T14" s="828">
        <f>T4*1.16</f>
        <v>9.8579734670211092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0</v>
      </c>
      <c r="E15" s="656">
        <f>D15</f>
        <v>0</v>
      </c>
      <c r="F15" s="673">
        <f t="shared" si="14"/>
        <v>0</v>
      </c>
      <c r="G15" s="674">
        <f t="shared" si="15"/>
        <v>100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T15" s="828">
        <f t="shared" ref="T15:T22" si="16">T5*1.16</f>
        <v>9.3041547329188568</v>
      </c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633.29999999999995</v>
      </c>
      <c r="E16" s="678">
        <f>D16-C16</f>
        <v>2.8999999999999773</v>
      </c>
      <c r="F16" s="651">
        <f t="shared" si="14"/>
        <v>0.78019908528382476</v>
      </c>
      <c r="G16" s="657">
        <f t="shared" si="15"/>
        <v>99.219800914716174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T16" s="828">
        <f t="shared" si="16"/>
        <v>8.4734266317653564</v>
      </c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519.6</v>
      </c>
      <c r="E17" s="681">
        <f t="shared" ref="E17:E24" si="17">D17-C17</f>
        <v>0.30000000000006821</v>
      </c>
      <c r="F17" s="651">
        <f t="shared" si="14"/>
        <v>8.0710250201793954E-2</v>
      </c>
      <c r="G17" s="669">
        <f t="shared" si="15"/>
        <v>99.139090664514384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T17" s="828">
        <f t="shared" si="16"/>
        <v>6.8119704294583574</v>
      </c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506.7</v>
      </c>
      <c r="E18" s="682">
        <f t="shared" si="17"/>
        <v>0.5</v>
      </c>
      <c r="F18" s="651">
        <f t="shared" si="14"/>
        <v>0.134517083669626</v>
      </c>
      <c r="G18" s="669">
        <f t="shared" si="15"/>
        <v>99.004573580844763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T18" s="828">
        <f t="shared" si="16"/>
        <v>5.1505142271514801</v>
      </c>
    </row>
    <row r="19" spans="1:26" ht="21.95" customHeight="1" x14ac:dyDescent="0.2">
      <c r="A19" s="986"/>
      <c r="B19" s="679">
        <v>1</v>
      </c>
      <c r="C19" s="666">
        <v>383.8</v>
      </c>
      <c r="D19" s="680">
        <v>384.3</v>
      </c>
      <c r="E19" s="681">
        <f t="shared" si="17"/>
        <v>0.5</v>
      </c>
      <c r="F19" s="651">
        <f t="shared" si="14"/>
        <v>0.134517083669626</v>
      </c>
      <c r="G19" s="669">
        <f t="shared" si="15"/>
        <v>98.870056497175142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T19" s="828">
        <f t="shared" si="16"/>
        <v>3.7659673918957277</v>
      </c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377.1</v>
      </c>
      <c r="E20" s="682">
        <f t="shared" si="17"/>
        <v>0.90000000000003411</v>
      </c>
      <c r="F20" s="651">
        <f t="shared" si="14"/>
        <v>0.24213075060533601</v>
      </c>
      <c r="G20" s="669">
        <f t="shared" si="15"/>
        <v>98.627925746569801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T20" s="828">
        <f t="shared" si="16"/>
        <v>2.6583299236911024</v>
      </c>
      <c r="V20" s="538" t="s">
        <v>107</v>
      </c>
      <c r="W20" s="539">
        <v>0.08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335</v>
      </c>
      <c r="E21" s="681">
        <f t="shared" si="17"/>
        <v>4.1999999999999886</v>
      </c>
      <c r="F21" s="651">
        <f t="shared" si="14"/>
        <v>1.1299435028248555</v>
      </c>
      <c r="G21" s="669">
        <f t="shared" si="15"/>
        <v>97.497982243744943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T21" s="828">
        <f t="shared" si="16"/>
        <v>1.8276018225376018</v>
      </c>
      <c r="V21" s="538" t="s">
        <v>108</v>
      </c>
      <c r="W21" s="539">
        <v>4.3E-3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396.8</v>
      </c>
      <c r="E22" s="682">
        <f t="shared" si="17"/>
        <v>70.699999999999989</v>
      </c>
      <c r="F22" s="651">
        <f t="shared" si="14"/>
        <v>19.020715630885114</v>
      </c>
      <c r="G22" s="669">
        <f t="shared" si="15"/>
        <v>78.477266612859836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T22" s="828">
        <f t="shared" si="16"/>
        <v>1.2737830884352277</v>
      </c>
      <c r="U22" s="540" t="s">
        <v>119</v>
      </c>
      <c r="V22" s="541" t="s">
        <v>106</v>
      </c>
      <c r="W22" s="542">
        <f>W20/W21</f>
        <v>18.604651162790699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369.5</v>
      </c>
      <c r="E23" s="681">
        <f t="shared" si="17"/>
        <v>65.100000000000023</v>
      </c>
      <c r="F23" s="651">
        <f t="shared" si="14"/>
        <v>17.514124293785311</v>
      </c>
      <c r="G23" s="684">
        <f t="shared" si="15"/>
        <v>60.963142319074521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359.7</v>
      </c>
      <c r="E24" s="682">
        <f t="shared" si="17"/>
        <v>46</v>
      </c>
      <c r="F24" s="686">
        <f t="shared" si="14"/>
        <v>12.375571697605592</v>
      </c>
      <c r="G24" s="687">
        <f t="shared" si="15"/>
        <v>48.587570621468927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2.2091851999999997E-7</v>
      </c>
    </row>
    <row r="25" spans="1:26" ht="21.95" customHeight="1" thickBot="1" x14ac:dyDescent="0.3">
      <c r="A25" s="826"/>
      <c r="B25" s="670" t="s">
        <v>14</v>
      </c>
      <c r="C25" s="689">
        <v>367.5</v>
      </c>
      <c r="D25" s="690">
        <v>369.5</v>
      </c>
      <c r="E25" s="691">
        <f>D25-C25+(G6-C26)</f>
        <v>180.60000000000002</v>
      </c>
      <c r="F25" s="651">
        <f t="shared" si="14"/>
        <v>48.58757062146892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193.5</v>
      </c>
      <c r="D26" s="693" t="s">
        <v>19</v>
      </c>
      <c r="E26" s="694">
        <f>SUM(E12:E25)</f>
        <v>371.7000000000001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0.39999999999992042</v>
      </c>
      <c r="F27" s="700">
        <f>IF((E27/G6*100)&gt;1,"Fehler zu groß",(E27/G6*100))</f>
        <v>0.10749798441277086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1.57216772E-8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825" t="s">
        <v>80</v>
      </c>
      <c r="B32" s="713"/>
      <c r="C32" s="713"/>
      <c r="D32" s="713"/>
      <c r="E32" s="714"/>
      <c r="F32" s="715">
        <v>6.02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25" t="s">
        <v>45</v>
      </c>
      <c r="B33" s="82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OK</v>
      </c>
      <c r="X33" s="559"/>
      <c r="Y33" s="559"/>
      <c r="Z33" s="537"/>
    </row>
    <row r="34" spans="1:26" ht="21.95" customHeight="1" x14ac:dyDescent="0.25">
      <c r="A34" s="82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825" t="s">
        <v>36</v>
      </c>
      <c r="B35" s="713"/>
      <c r="C35" s="713"/>
      <c r="D35" s="713"/>
      <c r="E35" s="714"/>
      <c r="F35" s="715">
        <v>32.799999999999997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336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4.8965262379896526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2.2091851999999997E-7</v>
      </c>
      <c r="W36" s="838">
        <v>1.28E-6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1"/>
  <dimension ref="A1:AE38"/>
  <sheetViews>
    <sheetView topLeftCell="R10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102</v>
      </c>
      <c r="D3" s="580" t="s">
        <v>25</v>
      </c>
      <c r="E3" s="582">
        <v>39841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20</v>
      </c>
      <c r="L4" s="604">
        <v>1.0165</v>
      </c>
      <c r="M4" s="602">
        <f t="shared" ref="M4:M10" si="0">(L4-1)*1000</f>
        <v>16.499999999999957</v>
      </c>
      <c r="N4" s="602">
        <f>M4+$G$33</f>
        <v>17.999999999999904</v>
      </c>
      <c r="O4" s="605">
        <v>0</v>
      </c>
      <c r="P4" s="606">
        <f t="shared" ref="P4:P10" si="1">N4+O4</f>
        <v>17.999999999999904</v>
      </c>
      <c r="Q4" s="607">
        <f>((18.35*V4/($F$34-W4))*Z4)^0.5</f>
        <v>7.0409102962227937E-2</v>
      </c>
      <c r="R4" s="602">
        <f t="shared" ref="R4:R10" si="2">$F$36*P4</f>
        <v>87.550245030559509</v>
      </c>
      <c r="S4" s="608">
        <f t="shared" ref="S4:S10" si="3">$G$24/100*R4</f>
        <v>22.749869914291761</v>
      </c>
      <c r="T4" s="530">
        <f>(S4/S$13)*S$4</f>
        <v>5.099597241061673</v>
      </c>
      <c r="U4" s="609">
        <f>1+0.001*N4</f>
        <v>1.0179999999999998</v>
      </c>
      <c r="V4" s="610">
        <f>0.00178/(1+0.0337*K4+0.00022*K4^2)</f>
        <v>1.0102156640181611E-3</v>
      </c>
      <c r="W4" s="609">
        <f>1/(1+((2.31*K4-2)^2-182)*0.00001)</f>
        <v>0.98259200696775639</v>
      </c>
      <c r="X4" s="611">
        <f>4142.8*(1.03-U4)/10</f>
        <v>4.9713600000000966</v>
      </c>
      <c r="Y4" s="612">
        <f t="shared" ref="Y4:Y12" si="4">X4+$AB$5+0.5*($AC$5-$AD$5/$AE$5)</f>
        <v>13.377365387853022</v>
      </c>
      <c r="Z4" s="613">
        <f t="shared" ref="Z4:Z12" si="5">Y4/I4</f>
        <v>0.44591217959510071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102</v>
      </c>
      <c r="D5" s="617"/>
      <c r="E5" s="618" t="s">
        <v>4</v>
      </c>
      <c r="F5" s="619" t="s">
        <v>133</v>
      </c>
      <c r="G5" s="620"/>
      <c r="I5" s="601">
        <f>J5*60</f>
        <v>60</v>
      </c>
      <c r="J5" s="621">
        <v>1</v>
      </c>
      <c r="K5" s="603">
        <v>20</v>
      </c>
      <c r="L5" s="604">
        <v>1.016</v>
      </c>
      <c r="M5" s="602">
        <f t="shared" si="0"/>
        <v>16.000000000000014</v>
      </c>
      <c r="N5" s="602">
        <f t="shared" ref="N5:N12" si="6">M5+$G$33</f>
        <v>17.499999999999961</v>
      </c>
      <c r="O5" s="605">
        <v>0</v>
      </c>
      <c r="P5" s="606">
        <f t="shared" si="1"/>
        <v>17.499999999999961</v>
      </c>
      <c r="Q5" s="607">
        <f t="shared" ref="Q5:Q12" si="7">((18.35*V5/($F$34-W5))*Z5)^0.5</f>
        <v>5.0170731581362024E-2</v>
      </c>
      <c r="R5" s="602">
        <f t="shared" si="2"/>
        <v>85.118293779710896</v>
      </c>
      <c r="S5" s="608">
        <f t="shared" si="3"/>
        <v>22.117929083339281</v>
      </c>
      <c r="T5" s="530">
        <f t="shared" ref="T5:T12" si="8">(S5/S$13)*S$4</f>
        <v>4.9579417621433075</v>
      </c>
      <c r="U5" s="609">
        <f t="shared" ref="U5:U12" si="9">1+0.001*N5</f>
        <v>1.0175000000000001</v>
      </c>
      <c r="V5" s="610">
        <f t="shared" ref="V5:V12" si="10">0.00178/(1+0.0337*K5+0.00022*K5^2)</f>
        <v>1.0102156640181611E-3</v>
      </c>
      <c r="W5" s="609">
        <f t="shared" ref="W5:W12" si="11">1/(1+((2.31*K5-2)^2-182)*0.00001)</f>
        <v>0.98259200696775639</v>
      </c>
      <c r="X5" s="611">
        <f t="shared" ref="X5:X12" si="12">4142.8*(1.03-U5)/10</f>
        <v>5.1784999999999819</v>
      </c>
      <c r="Y5" s="612">
        <f t="shared" si="4"/>
        <v>13.584505387852907</v>
      </c>
      <c r="Z5" s="613">
        <f t="shared" si="5"/>
        <v>0.22640842313088178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28.463143600788879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470.9</v>
      </c>
      <c r="I6" s="601">
        <f t="shared" ref="I6:I12" si="13">J6*60</f>
        <v>120</v>
      </c>
      <c r="J6" s="621">
        <v>2</v>
      </c>
      <c r="K6" s="603">
        <v>20</v>
      </c>
      <c r="L6" s="604">
        <v>1.012</v>
      </c>
      <c r="M6" s="602">
        <f t="shared" si="0"/>
        <v>12.000000000000011</v>
      </c>
      <c r="N6" s="602">
        <f t="shared" si="6"/>
        <v>13.499999999999957</v>
      </c>
      <c r="O6" s="605">
        <v>0</v>
      </c>
      <c r="P6" s="606">
        <f t="shared" si="1"/>
        <v>13.499999999999957</v>
      </c>
      <c r="Q6" s="607">
        <f t="shared" si="7"/>
        <v>3.7577610667120648E-2</v>
      </c>
      <c r="R6" s="602">
        <f t="shared" si="2"/>
        <v>65.662683772919777</v>
      </c>
      <c r="S6" s="608">
        <f t="shared" si="3"/>
        <v>17.062402435718859</v>
      </c>
      <c r="T6" s="530">
        <f t="shared" si="8"/>
        <v>3.8246979307962627</v>
      </c>
      <c r="U6" s="609">
        <f t="shared" si="9"/>
        <v>1.0135000000000001</v>
      </c>
      <c r="V6" s="610">
        <f t="shared" si="10"/>
        <v>1.0102156640181611E-3</v>
      </c>
      <c r="W6" s="609">
        <f t="shared" si="11"/>
        <v>0.98259200696775639</v>
      </c>
      <c r="X6" s="611">
        <f t="shared" si="12"/>
        <v>6.8356199999999827</v>
      </c>
      <c r="Y6" s="612">
        <f t="shared" si="4"/>
        <v>15.241625387852906</v>
      </c>
      <c r="Z6" s="613">
        <f t="shared" si="5"/>
        <v>0.12701354489877423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20</v>
      </c>
      <c r="L7" s="604">
        <v>1.0069999999999999</v>
      </c>
      <c r="M7" s="602">
        <f t="shared" si="0"/>
        <v>6.9999999999998952</v>
      </c>
      <c r="N7" s="602">
        <f t="shared" si="6"/>
        <v>8.4999999999998401</v>
      </c>
      <c r="O7" s="605">
        <v>0</v>
      </c>
      <c r="P7" s="606">
        <f t="shared" si="1"/>
        <v>8.4999999999998401</v>
      </c>
      <c r="Q7" s="607">
        <f t="shared" si="7"/>
        <v>2.5329697279131966E-2</v>
      </c>
      <c r="R7" s="602">
        <f t="shared" si="2"/>
        <v>41.343171264430318</v>
      </c>
      <c r="S7" s="608">
        <f t="shared" si="3"/>
        <v>10.742994126193185</v>
      </c>
      <c r="T7" s="530">
        <f t="shared" si="8"/>
        <v>2.4081431416124235</v>
      </c>
      <c r="U7" s="609">
        <f t="shared" si="9"/>
        <v>1.0084999999999997</v>
      </c>
      <c r="V7" s="610">
        <f t="shared" si="10"/>
        <v>1.0102156640181611E-3</v>
      </c>
      <c r="W7" s="609">
        <f t="shared" si="11"/>
        <v>0.98259200696775639</v>
      </c>
      <c r="X7" s="611">
        <f t="shared" si="12"/>
        <v>8.9070200000001236</v>
      </c>
      <c r="Y7" s="612">
        <f t="shared" si="4"/>
        <v>17.313025387853045</v>
      </c>
      <c r="Z7" s="613">
        <f t="shared" si="5"/>
        <v>5.771008462617682E-2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20</v>
      </c>
      <c r="L8" s="604">
        <v>1.0055000000000001</v>
      </c>
      <c r="M8" s="602">
        <f t="shared" si="0"/>
        <v>5.5000000000000604</v>
      </c>
      <c r="N8" s="602">
        <f t="shared" si="6"/>
        <v>7.0000000000000062</v>
      </c>
      <c r="O8" s="605">
        <v>0</v>
      </c>
      <c r="P8" s="606">
        <f t="shared" si="1"/>
        <v>7.0000000000000062</v>
      </c>
      <c r="Q8" s="607">
        <f t="shared" si="7"/>
        <v>1.4884246870592565E-2</v>
      </c>
      <c r="R8" s="602">
        <f t="shared" si="2"/>
        <v>34.047317511884465</v>
      </c>
      <c r="S8" s="608">
        <f t="shared" si="3"/>
        <v>8.8471716333357389</v>
      </c>
      <c r="T8" s="530">
        <f t="shared" si="8"/>
        <v>1.983176704857329</v>
      </c>
      <c r="U8" s="609">
        <f t="shared" si="9"/>
        <v>1.0070000000000001</v>
      </c>
      <c r="V8" s="610">
        <f t="shared" si="10"/>
        <v>1.0102156640181611E-3</v>
      </c>
      <c r="W8" s="609">
        <f t="shared" si="11"/>
        <v>0.98259200696775639</v>
      </c>
      <c r="X8" s="611">
        <f t="shared" si="12"/>
        <v>9.5284399999999643</v>
      </c>
      <c r="Y8" s="612">
        <f t="shared" si="4"/>
        <v>17.93444538785289</v>
      </c>
      <c r="Z8" s="613">
        <f t="shared" si="5"/>
        <v>1.9927161542058765E-2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20</v>
      </c>
      <c r="L9" s="604">
        <v>1.0035000000000001</v>
      </c>
      <c r="M9" s="602">
        <f t="shared" si="0"/>
        <v>3.5000000000000586</v>
      </c>
      <c r="N9" s="602">
        <f t="shared" si="6"/>
        <v>5.0000000000000044</v>
      </c>
      <c r="O9" s="605">
        <v>0</v>
      </c>
      <c r="P9" s="606">
        <f t="shared" si="1"/>
        <v>5.0000000000000044</v>
      </c>
      <c r="Q9" s="607">
        <f t="shared" si="7"/>
        <v>8.789688078546418E-3</v>
      </c>
      <c r="R9" s="602">
        <f t="shared" si="2"/>
        <v>24.319512508488902</v>
      </c>
      <c r="S9" s="608">
        <f t="shared" si="3"/>
        <v>6.319408309525528</v>
      </c>
      <c r="T9" s="530">
        <f t="shared" si="8"/>
        <v>1.4165547891838066</v>
      </c>
      <c r="U9" s="609">
        <f t="shared" si="9"/>
        <v>1.0049999999999999</v>
      </c>
      <c r="V9" s="610">
        <f t="shared" si="10"/>
        <v>1.0102156640181611E-3</v>
      </c>
      <c r="W9" s="609">
        <f t="shared" si="11"/>
        <v>0.98259200696775639</v>
      </c>
      <c r="X9" s="611">
        <f t="shared" si="12"/>
        <v>10.357000000000056</v>
      </c>
      <c r="Y9" s="612">
        <f t="shared" si="4"/>
        <v>18.763005387852978</v>
      </c>
      <c r="Z9" s="613">
        <f t="shared" si="5"/>
        <v>6.9492612547603621E-3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20</v>
      </c>
      <c r="L10" s="604">
        <v>1.0029999999999999</v>
      </c>
      <c r="M10" s="602">
        <f t="shared" si="0"/>
        <v>2.9999999999998916</v>
      </c>
      <c r="N10" s="602">
        <f t="shared" si="6"/>
        <v>4.4999999999998375</v>
      </c>
      <c r="O10" s="605">
        <v>0</v>
      </c>
      <c r="P10" s="606">
        <f t="shared" si="1"/>
        <v>4.4999999999998375</v>
      </c>
      <c r="Q10" s="607">
        <f t="shared" si="7"/>
        <v>5.4121923782886189E-3</v>
      </c>
      <c r="R10" s="602">
        <f t="shared" si="2"/>
        <v>21.887561257639202</v>
      </c>
      <c r="S10" s="608">
        <f t="shared" si="3"/>
        <v>5.6874674785727644</v>
      </c>
      <c r="T10" s="530">
        <f t="shared" si="8"/>
        <v>1.2748993102653787</v>
      </c>
      <c r="U10" s="609">
        <f t="shared" si="9"/>
        <v>1.0044999999999997</v>
      </c>
      <c r="V10" s="610">
        <f t="shared" si="10"/>
        <v>1.0102156640181611E-3</v>
      </c>
      <c r="W10" s="609">
        <f t="shared" si="11"/>
        <v>0.98259200696775639</v>
      </c>
      <c r="X10" s="611">
        <f t="shared" si="12"/>
        <v>10.564140000000126</v>
      </c>
      <c r="Y10" s="612">
        <f t="shared" si="4"/>
        <v>18.970145387853051</v>
      </c>
      <c r="Z10" s="613">
        <f t="shared" si="5"/>
        <v>2.6347424149795904E-3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20</v>
      </c>
      <c r="L11" s="604">
        <v>1.002</v>
      </c>
      <c r="M11" s="602">
        <f>(L11-1)*1000</f>
        <v>2.0000000000000018</v>
      </c>
      <c r="N11" s="602">
        <f t="shared" si="6"/>
        <v>3.4999999999999476</v>
      </c>
      <c r="O11" s="605">
        <v>0</v>
      </c>
      <c r="P11" s="606">
        <f>N11+O11</f>
        <v>3.4999999999999476</v>
      </c>
      <c r="Q11" s="607">
        <f t="shared" si="7"/>
        <v>3.158666207447387E-3</v>
      </c>
      <c r="R11" s="602">
        <f>$F$36*P11</f>
        <v>17.023658755941963</v>
      </c>
      <c r="S11" s="608">
        <f>$G$24/100*R11</f>
        <v>4.4235858166677993</v>
      </c>
      <c r="T11" s="530">
        <f t="shared" si="8"/>
        <v>0.99158835242864884</v>
      </c>
      <c r="U11" s="609">
        <f t="shared" si="9"/>
        <v>1.0034999999999998</v>
      </c>
      <c r="V11" s="610">
        <f t="shared" si="10"/>
        <v>1.0102156640181611E-3</v>
      </c>
      <c r="W11" s="609">
        <f t="shared" si="11"/>
        <v>0.98259200696775639</v>
      </c>
      <c r="X11" s="611">
        <f t="shared" si="12"/>
        <v>10.97842000000008</v>
      </c>
      <c r="Y11" s="612">
        <f t="shared" si="4"/>
        <v>19.384425387853003</v>
      </c>
      <c r="Z11" s="613">
        <f t="shared" si="5"/>
        <v>8.9742710128949091E-4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725">
        <v>19</v>
      </c>
      <c r="L12" s="660">
        <v>1.0015000000000001</v>
      </c>
      <c r="M12" s="661">
        <f>(L12-1)*1000</f>
        <v>1.5000000000000568</v>
      </c>
      <c r="N12" s="661">
        <f t="shared" si="6"/>
        <v>3.0000000000000027</v>
      </c>
      <c r="O12" s="726">
        <v>-0.2</v>
      </c>
      <c r="P12" s="662">
        <f>N12+O12</f>
        <v>2.8000000000000025</v>
      </c>
      <c r="Q12" s="663">
        <f t="shared" si="7"/>
        <v>1.6080761284743225E-3</v>
      </c>
      <c r="R12" s="661">
        <f>$F$36*P12</f>
        <v>13.618927004753786</v>
      </c>
      <c r="S12" s="664">
        <f>$G$24/100*R12</f>
        <v>3.5388686533342959</v>
      </c>
      <c r="T12" s="530">
        <f t="shared" si="8"/>
        <v>0.79327068194293171</v>
      </c>
      <c r="U12" s="609">
        <f t="shared" si="9"/>
        <v>1.0030000000000001</v>
      </c>
      <c r="V12" s="610">
        <f t="shared" si="10"/>
        <v>1.0350522178028982E-3</v>
      </c>
      <c r="W12" s="609">
        <f t="shared" si="11"/>
        <v>0.98451581001991773</v>
      </c>
      <c r="X12" s="611">
        <f t="shared" si="12"/>
        <v>11.185559999999963</v>
      </c>
      <c r="Y12" s="612">
        <f t="shared" si="4"/>
        <v>19.591565387852889</v>
      </c>
      <c r="Z12" s="613">
        <f t="shared" si="5"/>
        <v>2.2675422902607509E-4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16.899999999999999</v>
      </c>
      <c r="E13" s="668">
        <f>D13</f>
        <v>16.899999999999999</v>
      </c>
      <c r="F13" s="651">
        <f t="shared" si="14"/>
        <v>3.6383207750269095</v>
      </c>
      <c r="G13" s="669">
        <f t="shared" si="15"/>
        <v>96.361679224973088</v>
      </c>
      <c r="S13" s="530">
        <f>SUM(S4:S12)</f>
        <v>101.48969745097921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20.2</v>
      </c>
      <c r="E14" s="668">
        <f>D14</f>
        <v>20.2</v>
      </c>
      <c r="F14" s="651">
        <f t="shared" si="14"/>
        <v>4.3487621097954783</v>
      </c>
      <c r="G14" s="669">
        <f t="shared" si="15"/>
        <v>92.012917115177615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59.8</v>
      </c>
      <c r="E15" s="656">
        <f>D15</f>
        <v>59.8</v>
      </c>
      <c r="F15" s="673">
        <f t="shared" si="14"/>
        <v>12.874058127018298</v>
      </c>
      <c r="G15" s="674">
        <f t="shared" si="15"/>
        <v>79.138858988159313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636.20000000000005</v>
      </c>
      <c r="E16" s="678">
        <f>D16-C16</f>
        <v>5.8000000000000682</v>
      </c>
      <c r="F16" s="651">
        <f t="shared" si="14"/>
        <v>1.2486544671690134</v>
      </c>
      <c r="G16" s="657">
        <f t="shared" si="15"/>
        <v>77.890204520990295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538.79999999999995</v>
      </c>
      <c r="E17" s="681">
        <f t="shared" ref="E17:E24" si="16">D17-C17</f>
        <v>19.5</v>
      </c>
      <c r="F17" s="651">
        <f t="shared" si="14"/>
        <v>4.1980624327233578</v>
      </c>
      <c r="G17" s="669">
        <f t="shared" si="15"/>
        <v>73.692142088266934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529.20000000000005</v>
      </c>
      <c r="E18" s="682">
        <f t="shared" si="16"/>
        <v>23.000000000000057</v>
      </c>
      <c r="F18" s="651">
        <f t="shared" si="14"/>
        <v>4.9515608180839727</v>
      </c>
      <c r="G18" s="669">
        <f t="shared" si="15"/>
        <v>68.740581270182957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398.8</v>
      </c>
      <c r="E19" s="681">
        <f t="shared" si="16"/>
        <v>15</v>
      </c>
      <c r="F19" s="651">
        <f t="shared" si="14"/>
        <v>3.2292787944025831</v>
      </c>
      <c r="G19" s="669">
        <f t="shared" si="15"/>
        <v>65.511302475780369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390.4</v>
      </c>
      <c r="E20" s="682">
        <f t="shared" si="16"/>
        <v>14.199999999999989</v>
      </c>
      <c r="F20" s="651">
        <f t="shared" si="14"/>
        <v>3.0570505920344426</v>
      </c>
      <c r="G20" s="669">
        <f t="shared" si="15"/>
        <v>62.454251883745926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0.57999999999999996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385.3</v>
      </c>
      <c r="E21" s="681">
        <f t="shared" si="16"/>
        <v>54.5</v>
      </c>
      <c r="F21" s="651">
        <f t="shared" si="14"/>
        <v>11.733046286329385</v>
      </c>
      <c r="G21" s="669">
        <f t="shared" si="15"/>
        <v>50.721205597416542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0.02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375.7</v>
      </c>
      <c r="E22" s="682">
        <f t="shared" si="16"/>
        <v>49.599999999999966</v>
      </c>
      <c r="F22" s="651">
        <f t="shared" si="14"/>
        <v>10.678148546824534</v>
      </c>
      <c r="G22" s="669">
        <f t="shared" si="15"/>
        <v>40.043057050592012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28.999999999999996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349.2</v>
      </c>
      <c r="E23" s="681">
        <f t="shared" si="16"/>
        <v>44.800000000000011</v>
      </c>
      <c r="F23" s="651">
        <f t="shared" si="14"/>
        <v>9.6447793326157178</v>
      </c>
      <c r="G23" s="684">
        <f t="shared" si="15"/>
        <v>30.398277717976292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334.2</v>
      </c>
      <c r="E24" s="682">
        <f t="shared" si="16"/>
        <v>20.5</v>
      </c>
      <c r="F24" s="686">
        <f t="shared" si="14"/>
        <v>4.4133476856835303</v>
      </c>
      <c r="G24" s="687">
        <f t="shared" si="15"/>
        <v>25.984930032292763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4.7791999999999991E-6</v>
      </c>
    </row>
    <row r="25" spans="1:26" ht="21.95" customHeight="1" thickBot="1" x14ac:dyDescent="0.3">
      <c r="A25" s="730"/>
      <c r="B25" s="670" t="s">
        <v>14</v>
      </c>
      <c r="C25" s="689">
        <v>367.5</v>
      </c>
      <c r="D25" s="690">
        <v>372.8</v>
      </c>
      <c r="E25" s="691">
        <f>D25-C25+(G6-C26)</f>
        <v>120.69999999999999</v>
      </c>
      <c r="F25" s="651">
        <f t="shared" si="14"/>
        <v>25.98493003229278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355.5</v>
      </c>
      <c r="D26" s="693" t="s">
        <v>19</v>
      </c>
      <c r="E26" s="694">
        <f>SUM(E12:E25)</f>
        <v>464.50000000000006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6.3999999999999204</v>
      </c>
      <c r="F27" s="700" t="str">
        <f>IF((E27/G6*100)&gt;1,"Fehler zu groß",(E27/G6*100))</f>
        <v>Fehler zu groß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3.40112E-7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>
        <v>6.02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>
        <v>33.020000000000003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335</v>
      </c>
      <c r="X35" s="530" t="s">
        <v>336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4.8639025016977762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4.7791999999999991E-6</v>
      </c>
      <c r="W36" s="838">
        <v>3.5779999999999999E-6</v>
      </c>
    </row>
    <row r="37" spans="1:26" x14ac:dyDescent="0.2">
      <c r="W37" s="842" t="s">
        <v>344</v>
      </c>
    </row>
    <row r="38" spans="1:26" x14ac:dyDescent="0.2">
      <c r="W38" s="530" t="s">
        <v>345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2"/>
  <dimension ref="A1:AE36"/>
  <sheetViews>
    <sheetView topLeftCell="S11" zoomScaleNormal="100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103</v>
      </c>
      <c r="D3" s="580" t="s">
        <v>25</v>
      </c>
      <c r="E3" s="582">
        <v>39860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29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102</v>
      </c>
      <c r="D5" s="617"/>
      <c r="E5" s="618" t="s">
        <v>4</v>
      </c>
      <c r="F5" s="619" t="s">
        <v>183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483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46.8</v>
      </c>
      <c r="E13" s="668">
        <f>D13</f>
        <v>46.8</v>
      </c>
      <c r="F13" s="651">
        <f t="shared" si="13"/>
        <v>9.7155906165663275</v>
      </c>
      <c r="G13" s="669">
        <f t="shared" si="14"/>
        <v>90.284409383433669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32.700000000000003</v>
      </c>
      <c r="E14" s="668">
        <f>D14</f>
        <v>32.700000000000003</v>
      </c>
      <c r="F14" s="651">
        <f t="shared" si="13"/>
        <v>6.7884575461905756</v>
      </c>
      <c r="G14" s="669">
        <f t="shared" si="14"/>
        <v>83.495951837243098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128</v>
      </c>
      <c r="E15" s="656">
        <f>D15</f>
        <v>128</v>
      </c>
      <c r="F15" s="673">
        <f t="shared" si="13"/>
        <v>26.572555532489101</v>
      </c>
      <c r="G15" s="674">
        <f t="shared" si="14"/>
        <v>56.923396304753993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659.8</v>
      </c>
      <c r="E16" s="678">
        <f>D16-C16</f>
        <v>29.399999999999977</v>
      </c>
      <c r="F16" s="651">
        <f t="shared" si="13"/>
        <v>6.1033838488685852</v>
      </c>
      <c r="G16" s="657">
        <f t="shared" si="14"/>
        <v>50.820012455885404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568.70000000000005</v>
      </c>
      <c r="E17" s="681">
        <f t="shared" ref="E17:E24" si="15">D17-C17</f>
        <v>49.400000000000091</v>
      </c>
      <c r="F17" s="651">
        <f t="shared" si="13"/>
        <v>10.255345650820031</v>
      </c>
      <c r="G17" s="669">
        <f t="shared" si="14"/>
        <v>40.564666805065372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557.29999999999995</v>
      </c>
      <c r="E18" s="682">
        <f t="shared" si="15"/>
        <v>51.099999999999966</v>
      </c>
      <c r="F18" s="651">
        <f t="shared" si="13"/>
        <v>10.608262403985877</v>
      </c>
      <c r="G18" s="669">
        <f t="shared" si="14"/>
        <v>29.956404401079496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407.3</v>
      </c>
      <c r="E19" s="681">
        <f t="shared" si="15"/>
        <v>23.5</v>
      </c>
      <c r="F19" s="651">
        <f t="shared" si="13"/>
        <v>4.8785551172929207</v>
      </c>
      <c r="G19" s="669">
        <f t="shared" si="14"/>
        <v>25.077849283786577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394</v>
      </c>
      <c r="E20" s="682">
        <f t="shared" si="15"/>
        <v>17.800000000000011</v>
      </c>
      <c r="F20" s="651">
        <f t="shared" si="13"/>
        <v>3.6952460037367678</v>
      </c>
      <c r="G20" s="669">
        <f t="shared" si="14"/>
        <v>21.38260328004981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10.1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370</v>
      </c>
      <c r="E21" s="681">
        <f t="shared" si="15"/>
        <v>39.199999999999989</v>
      </c>
      <c r="F21" s="651">
        <f t="shared" si="13"/>
        <v>8.1378451318247844</v>
      </c>
      <c r="G21" s="669">
        <f t="shared" si="14"/>
        <v>13.244758148225026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0.28999999999999998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359.7</v>
      </c>
      <c r="E22" s="682">
        <f t="shared" si="15"/>
        <v>33.599999999999966</v>
      </c>
      <c r="F22" s="651">
        <f t="shared" si="13"/>
        <v>6.9752958272783827</v>
      </c>
      <c r="G22" s="669">
        <f t="shared" si="14"/>
        <v>6.2694623209466434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34.827586206896555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313.39999999999998</v>
      </c>
      <c r="E23" s="681">
        <f t="shared" si="15"/>
        <v>9</v>
      </c>
      <c r="F23" s="651">
        <f t="shared" si="13"/>
        <v>1.86838281087814</v>
      </c>
      <c r="G23" s="684">
        <f t="shared" si="14"/>
        <v>4.4010795100685032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317.2</v>
      </c>
      <c r="E24" s="682">
        <f t="shared" si="15"/>
        <v>3.5</v>
      </c>
      <c r="F24" s="686">
        <f t="shared" si="13"/>
        <v>0.72659331534149885</v>
      </c>
      <c r="G24" s="687">
        <f t="shared" si="14"/>
        <v>3.6744861947270042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1.0048267999999997E-3</v>
      </c>
      <c r="X24" s="116"/>
      <c r="Y24" s="116"/>
      <c r="Z24" s="116"/>
    </row>
    <row r="25" spans="1:26" ht="21.95" customHeight="1" thickBot="1" x14ac:dyDescent="0.3">
      <c r="A25" s="727"/>
      <c r="B25" s="670" t="s">
        <v>14</v>
      </c>
      <c r="C25" s="689">
        <v>367.5</v>
      </c>
      <c r="D25" s="690">
        <v>367.8</v>
      </c>
      <c r="E25" s="691">
        <f>D25-C25+(G6-C26)</f>
        <v>17.699999999999989</v>
      </c>
      <c r="F25" s="651">
        <f t="shared" si="13"/>
        <v>3.6744861947270064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465.6</v>
      </c>
      <c r="D26" s="693" t="s">
        <v>19</v>
      </c>
      <c r="E26" s="694">
        <f>SUM(E12:E25)</f>
        <v>481.7</v>
      </c>
      <c r="F26" s="695">
        <f>SUM(F12:F25)</f>
        <v>100.00000000000003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1.3000000000000114</v>
      </c>
      <c r="F27" s="700">
        <f>IF((E27/G6*100)&gt;1,"Fehler zu groß",(E27/G6*100))</f>
        <v>0.26915113871635848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7.1508547999999999E-5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5.1000000000000004E-4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28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28" t="s">
        <v>45</v>
      </c>
      <c r="B33" s="728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28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28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7.5741339999999989E-4</v>
      </c>
      <c r="W36" s="839">
        <v>1.011E-3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3"/>
  <dimension ref="A1:AE38"/>
  <sheetViews>
    <sheetView topLeftCell="R10" zoomScaleNormal="100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104</v>
      </c>
      <c r="D3" s="385" t="s">
        <v>25</v>
      </c>
      <c r="E3" s="387">
        <v>39856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14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408">
        <v>19</v>
      </c>
      <c r="L4" s="409">
        <v>1.006</v>
      </c>
      <c r="M4" s="407">
        <f t="shared" ref="M4:M10" si="0">(L4-1)*1000</f>
        <v>6.0000000000000053</v>
      </c>
      <c r="N4" s="407">
        <f>M4+$G$33</f>
        <v>7.4999999999999512</v>
      </c>
      <c r="O4" s="410">
        <v>-0.2</v>
      </c>
      <c r="P4" s="411">
        <f>N4+O4</f>
        <v>7.299999999999951</v>
      </c>
      <c r="Q4" s="412">
        <f>((18.35*V4/($F$34-W4))*Z4)^0.5</f>
        <v>8.2089884201219418E-2</v>
      </c>
      <c r="R4" s="407">
        <f t="shared" ref="R4:R10" si="1">$F$36*P4</f>
        <v>84.651569850125256</v>
      </c>
      <c r="S4" s="413">
        <f t="shared" ref="S4:S10" si="2">$G$24/100*R4</f>
        <v>31.220053335505053</v>
      </c>
      <c r="T4" s="831">
        <f>(S4/S$13)*S$4</f>
        <v>6.7628008708958038</v>
      </c>
      <c r="U4" s="414">
        <f>1+0.001*N4</f>
        <v>1.0074999999999998</v>
      </c>
      <c r="V4" s="415">
        <f>0.00178/(1+0.0337*K4+0.00022*K4^2)</f>
        <v>1.0350522178028982E-3</v>
      </c>
      <c r="W4" s="414">
        <f>1/(1+((2.31*K4-2)^2-182)*0.00001)</f>
        <v>0.98451581001991773</v>
      </c>
      <c r="X4" s="416">
        <f>4142.8*(1.03-U4)/10</f>
        <v>9.3213000000000772</v>
      </c>
      <c r="Y4" s="417">
        <f t="shared" ref="Y4:Y12" si="3">X4+$AB$5+0.5*($AC$5-$AD$5/$AE$5)</f>
        <v>17.727305387853001</v>
      </c>
      <c r="Z4" s="418">
        <f t="shared" ref="Z4:Z12" si="4">Y4/I4</f>
        <v>0.59091017959510006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102</v>
      </c>
      <c r="D5" s="422"/>
      <c r="E5" s="423" t="s">
        <v>4</v>
      </c>
      <c r="F5" s="424" t="s">
        <v>139</v>
      </c>
      <c r="G5" s="425"/>
      <c r="I5" s="406">
        <f>J5*60</f>
        <v>60</v>
      </c>
      <c r="J5" s="426">
        <v>1</v>
      </c>
      <c r="K5" s="408">
        <v>19</v>
      </c>
      <c r="L5" s="409">
        <v>1.004</v>
      </c>
      <c r="M5" s="407">
        <f t="shared" si="0"/>
        <v>4.0000000000000036</v>
      </c>
      <c r="N5" s="407">
        <f t="shared" ref="N5:N12" si="5">M5+$G$33</f>
        <v>5.4999999999999494</v>
      </c>
      <c r="O5" s="410">
        <v>-0.2</v>
      </c>
      <c r="P5" s="411">
        <f t="shared" ref="P5:P10" si="6">N5+O5</f>
        <v>5.2999999999999492</v>
      </c>
      <c r="Q5" s="412">
        <f t="shared" ref="Q5:Q12" si="7">((18.35*V5/($F$34-W5))*Z5)^0.5</f>
        <v>5.9387342094876686E-2</v>
      </c>
      <c r="R5" s="407">
        <f t="shared" si="1"/>
        <v>61.459358932282541</v>
      </c>
      <c r="S5" s="413">
        <f t="shared" si="2"/>
        <v>22.666614065503602</v>
      </c>
      <c r="T5" s="831">
        <f t="shared" ref="T5:T12" si="8">(S5/S$13)*S$4</f>
        <v>4.9099787144859803</v>
      </c>
      <c r="U5" s="414">
        <f t="shared" ref="U5:U12" si="9">1+0.001*N5</f>
        <v>1.0055000000000001</v>
      </c>
      <c r="V5" s="415">
        <f t="shared" ref="V5:V12" si="10">0.00178/(1+0.0337*K5+0.00022*K5^2)</f>
        <v>1.0350522178028982E-3</v>
      </c>
      <c r="W5" s="414">
        <f t="shared" ref="W5:W12" si="11">1/(1+((2.31*K5-2)^2-182)*0.00001)</f>
        <v>0.98451581001991773</v>
      </c>
      <c r="X5" s="416">
        <f t="shared" ref="X5:X12" si="12">4142.8*(1.03-U5)/10</f>
        <v>10.149859999999986</v>
      </c>
      <c r="Y5" s="417">
        <f t="shared" si="3"/>
        <v>18.555865387852911</v>
      </c>
      <c r="Z5" s="418">
        <f t="shared" si="4"/>
        <v>0.30926442313088187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698.5</v>
      </c>
      <c r="I6" s="406">
        <f t="shared" ref="I6:I12" si="13">J6*60</f>
        <v>120</v>
      </c>
      <c r="J6" s="426">
        <v>2</v>
      </c>
      <c r="K6" s="408">
        <v>19</v>
      </c>
      <c r="L6" s="409">
        <v>1.0035000000000001</v>
      </c>
      <c r="M6" s="407">
        <f t="shared" si="0"/>
        <v>3.5000000000000586</v>
      </c>
      <c r="N6" s="407">
        <f t="shared" si="5"/>
        <v>5.0000000000000044</v>
      </c>
      <c r="O6" s="410">
        <v>-0.2</v>
      </c>
      <c r="P6" s="411">
        <f t="shared" si="6"/>
        <v>4.8000000000000043</v>
      </c>
      <c r="Q6" s="412">
        <f t="shared" si="7"/>
        <v>4.222692781476179E-2</v>
      </c>
      <c r="R6" s="407">
        <f t="shared" si="1"/>
        <v>55.661306202822509</v>
      </c>
      <c r="S6" s="413">
        <f t="shared" si="2"/>
        <v>20.528254248003478</v>
      </c>
      <c r="T6" s="831">
        <f t="shared" si="8"/>
        <v>4.4467731753835755</v>
      </c>
      <c r="U6" s="414">
        <f t="shared" si="9"/>
        <v>1.0049999999999999</v>
      </c>
      <c r="V6" s="415">
        <f t="shared" si="10"/>
        <v>1.0350522178028982E-3</v>
      </c>
      <c r="W6" s="414">
        <f t="shared" si="11"/>
        <v>0.98451581001991773</v>
      </c>
      <c r="X6" s="416">
        <f t="shared" si="12"/>
        <v>10.357000000000056</v>
      </c>
      <c r="Y6" s="417">
        <f t="shared" si="3"/>
        <v>18.763005387852978</v>
      </c>
      <c r="Z6" s="418">
        <f t="shared" si="4"/>
        <v>0.15635837823210816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408">
        <v>19</v>
      </c>
      <c r="L7" s="409">
        <v>1.0029999999999999</v>
      </c>
      <c r="M7" s="407">
        <f t="shared" si="0"/>
        <v>2.9999999999998916</v>
      </c>
      <c r="N7" s="407">
        <f t="shared" si="5"/>
        <v>4.4999999999998375</v>
      </c>
      <c r="O7" s="410">
        <v>-0.2</v>
      </c>
      <c r="P7" s="411">
        <f t="shared" si="6"/>
        <v>4.2999999999998373</v>
      </c>
      <c r="Q7" s="412">
        <f t="shared" si="7"/>
        <v>2.6853667643726063E-2</v>
      </c>
      <c r="R7" s="407">
        <f t="shared" si="1"/>
        <v>49.863253473359897</v>
      </c>
      <c r="S7" s="413">
        <f t="shared" si="2"/>
        <v>18.389894430502402</v>
      </c>
      <c r="T7" s="831">
        <f t="shared" si="8"/>
        <v>3.9835676362809656</v>
      </c>
      <c r="U7" s="414">
        <f t="shared" si="9"/>
        <v>1.0044999999999997</v>
      </c>
      <c r="V7" s="415">
        <f t="shared" si="10"/>
        <v>1.0350522178028982E-3</v>
      </c>
      <c r="W7" s="414">
        <f t="shared" si="11"/>
        <v>0.98451581001991773</v>
      </c>
      <c r="X7" s="416">
        <f t="shared" si="12"/>
        <v>10.564140000000126</v>
      </c>
      <c r="Y7" s="417">
        <f t="shared" si="3"/>
        <v>18.970145387853051</v>
      </c>
      <c r="Z7" s="418">
        <f t="shared" si="4"/>
        <v>6.3233817959510177E-2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408">
        <v>19</v>
      </c>
      <c r="L8" s="409">
        <v>1.0024999999999999</v>
      </c>
      <c r="M8" s="407">
        <f t="shared" si="0"/>
        <v>2.4999999999999467</v>
      </c>
      <c r="N8" s="407">
        <f t="shared" si="5"/>
        <v>3.9999999999998925</v>
      </c>
      <c r="O8" s="410">
        <v>-0.2</v>
      </c>
      <c r="P8" s="411">
        <f t="shared" si="6"/>
        <v>3.7999999999998924</v>
      </c>
      <c r="Q8" s="412">
        <f t="shared" si="7"/>
        <v>1.55883884004532E-2</v>
      </c>
      <c r="R8" s="407">
        <f t="shared" si="1"/>
        <v>44.065200743899865</v>
      </c>
      <c r="S8" s="413">
        <f t="shared" si="2"/>
        <v>16.251534613002278</v>
      </c>
      <c r="T8" s="831">
        <f t="shared" si="8"/>
        <v>3.5203620971785612</v>
      </c>
      <c r="U8" s="414">
        <f t="shared" si="9"/>
        <v>1.004</v>
      </c>
      <c r="V8" s="415">
        <f t="shared" si="10"/>
        <v>1.0350522178028982E-3</v>
      </c>
      <c r="W8" s="414">
        <f t="shared" si="11"/>
        <v>0.98451581001991773</v>
      </c>
      <c r="X8" s="416">
        <f t="shared" si="12"/>
        <v>10.77128000000001</v>
      </c>
      <c r="Y8" s="417">
        <f t="shared" si="3"/>
        <v>19.177285387852933</v>
      </c>
      <c r="Z8" s="418">
        <f t="shared" si="4"/>
        <v>2.1308094875392147E-2</v>
      </c>
      <c r="AA8" s="427"/>
      <c r="AB8" s="530" t="s">
        <v>321</v>
      </c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408">
        <v>19</v>
      </c>
      <c r="L9" s="409">
        <v>1.002</v>
      </c>
      <c r="M9" s="407">
        <f t="shared" si="0"/>
        <v>2.0000000000000018</v>
      </c>
      <c r="N9" s="407">
        <f t="shared" si="5"/>
        <v>3.4999999999999476</v>
      </c>
      <c r="O9" s="410">
        <v>-0.2</v>
      </c>
      <c r="P9" s="411">
        <f t="shared" si="6"/>
        <v>3.2999999999999474</v>
      </c>
      <c r="Q9" s="412">
        <f t="shared" si="7"/>
        <v>9.0484354179825553E-3</v>
      </c>
      <c r="R9" s="407">
        <f t="shared" si="1"/>
        <v>38.267148014439826</v>
      </c>
      <c r="S9" s="413">
        <f t="shared" si="2"/>
        <v>14.113174795502152</v>
      </c>
      <c r="T9" s="831">
        <f t="shared" si="8"/>
        <v>3.0571565580761568</v>
      </c>
      <c r="U9" s="414">
        <f t="shared" si="9"/>
        <v>1.0034999999999998</v>
      </c>
      <c r="V9" s="415">
        <f t="shared" si="10"/>
        <v>1.0350522178028982E-3</v>
      </c>
      <c r="W9" s="414">
        <f t="shared" si="11"/>
        <v>0.98451581001991773</v>
      </c>
      <c r="X9" s="416">
        <f t="shared" si="12"/>
        <v>10.97842000000008</v>
      </c>
      <c r="Y9" s="417">
        <f t="shared" si="3"/>
        <v>19.384425387853003</v>
      </c>
      <c r="Z9" s="418">
        <f t="shared" si="4"/>
        <v>7.1794168103159273E-3</v>
      </c>
      <c r="AA9" s="427"/>
      <c r="AB9" s="833">
        <v>8.0638243424915462E-2</v>
      </c>
      <c r="AC9" s="834">
        <v>102.04572803850793</v>
      </c>
      <c r="AD9" s="834">
        <v>37.717016501869459</v>
      </c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408">
        <v>19</v>
      </c>
      <c r="L10" s="409">
        <v>1.0015000000000001</v>
      </c>
      <c r="M10" s="407">
        <f t="shared" si="0"/>
        <v>1.5000000000000568</v>
      </c>
      <c r="N10" s="407">
        <f t="shared" si="5"/>
        <v>3.0000000000000027</v>
      </c>
      <c r="O10" s="410">
        <v>-0.2</v>
      </c>
      <c r="P10" s="411">
        <f t="shared" si="6"/>
        <v>2.8000000000000025</v>
      </c>
      <c r="Q10" s="412">
        <f t="shared" si="7"/>
        <v>5.5705391139123676E-3</v>
      </c>
      <c r="R10" s="407">
        <f t="shared" si="1"/>
        <v>32.469095284979794</v>
      </c>
      <c r="S10" s="413">
        <f t="shared" si="2"/>
        <v>11.974814978002028</v>
      </c>
      <c r="T10" s="831">
        <f t="shared" si="8"/>
        <v>2.5939510189737525</v>
      </c>
      <c r="U10" s="414">
        <f t="shared" si="9"/>
        <v>1.0030000000000001</v>
      </c>
      <c r="V10" s="415">
        <f t="shared" si="10"/>
        <v>1.0350522178028982E-3</v>
      </c>
      <c r="W10" s="414">
        <f t="shared" si="11"/>
        <v>0.98451581001991773</v>
      </c>
      <c r="X10" s="416">
        <f t="shared" si="12"/>
        <v>11.185559999999963</v>
      </c>
      <c r="Y10" s="417">
        <f t="shared" si="3"/>
        <v>19.591565387852889</v>
      </c>
      <c r="Z10" s="418">
        <f t="shared" si="4"/>
        <v>2.7210507483129013E-3</v>
      </c>
      <c r="AA10" s="427"/>
      <c r="AB10" s="832">
        <v>5.9387342094876686E-2</v>
      </c>
      <c r="AC10" s="831">
        <v>61.459358932282541</v>
      </c>
      <c r="AD10" s="831">
        <v>22.715930393171138</v>
      </c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408">
        <v>19</v>
      </c>
      <c r="L11" s="409">
        <v>1</v>
      </c>
      <c r="M11" s="407">
        <f>(L11-1)*1000</f>
        <v>0</v>
      </c>
      <c r="N11" s="407">
        <f t="shared" si="5"/>
        <v>1.4999999999999458</v>
      </c>
      <c r="O11" s="410">
        <v>-0.2</v>
      </c>
      <c r="P11" s="411">
        <f>N11+O11</f>
        <v>1.2999999999999459</v>
      </c>
      <c r="Q11" s="412">
        <f t="shared" si="7"/>
        <v>3.2667602516833422E-3</v>
      </c>
      <c r="R11" s="407">
        <f>$F$36*P11</f>
        <v>15.074937096597122</v>
      </c>
      <c r="S11" s="413">
        <f>$G$24/100*R11</f>
        <v>5.5597355255007059</v>
      </c>
      <c r="T11" s="831">
        <f t="shared" si="8"/>
        <v>1.204334401666334</v>
      </c>
      <c r="U11" s="414">
        <f t="shared" si="9"/>
        <v>1.0015000000000001</v>
      </c>
      <c r="V11" s="415">
        <f t="shared" si="10"/>
        <v>1.0350522178028982E-3</v>
      </c>
      <c r="W11" s="414">
        <f t="shared" si="11"/>
        <v>0.98451581001991773</v>
      </c>
      <c r="X11" s="416">
        <f t="shared" si="12"/>
        <v>11.806979999999989</v>
      </c>
      <c r="Y11" s="417">
        <f t="shared" si="3"/>
        <v>20.21298538785291</v>
      </c>
      <c r="Z11" s="418">
        <f t="shared" si="4"/>
        <v>9.3578636054874589E-4</v>
      </c>
      <c r="AA11" s="427"/>
      <c r="AB11" s="832">
        <v>4.222692781476179E-2</v>
      </c>
      <c r="AC11" s="831">
        <v>55.661306202822509</v>
      </c>
      <c r="AD11" s="831">
        <v>20.572918091928795</v>
      </c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408">
        <v>19</v>
      </c>
      <c r="L12" s="466">
        <v>0.99950000000000006</v>
      </c>
      <c r="M12" s="467">
        <f>(L12-1)*1000</f>
        <v>-0.49999999999994493</v>
      </c>
      <c r="N12" s="467">
        <f t="shared" si="5"/>
        <v>1.0000000000000009</v>
      </c>
      <c r="O12" s="565">
        <v>-0.2</v>
      </c>
      <c r="P12" s="468">
        <f>N12+O12</f>
        <v>0.80000000000000093</v>
      </c>
      <c r="Q12" s="469">
        <f t="shared" si="7"/>
        <v>1.6417281247727215E-3</v>
      </c>
      <c r="R12" s="467">
        <f>$F$36*P12</f>
        <v>9.276884367137086</v>
      </c>
      <c r="S12" s="470">
        <f>$G$24/100*R12</f>
        <v>3.4213757080005802</v>
      </c>
      <c r="T12" s="831">
        <f t="shared" si="8"/>
        <v>0.74112886256392951</v>
      </c>
      <c r="U12" s="414">
        <f t="shared" si="9"/>
        <v>1.0009999999999999</v>
      </c>
      <c r="V12" s="415">
        <f t="shared" si="10"/>
        <v>1.0350522178028982E-3</v>
      </c>
      <c r="W12" s="414">
        <f t="shared" si="11"/>
        <v>0.98451581001991773</v>
      </c>
      <c r="X12" s="416">
        <f t="shared" si="12"/>
        <v>12.014120000000057</v>
      </c>
      <c r="Y12" s="417">
        <f t="shared" si="3"/>
        <v>20.42012538785298</v>
      </c>
      <c r="Z12" s="418">
        <f t="shared" si="4"/>
        <v>2.3634404384089097E-4</v>
      </c>
      <c r="AA12" s="427"/>
      <c r="AB12" s="832">
        <v>2.6853667643726063E-2</v>
      </c>
      <c r="AC12" s="831">
        <v>49.863253473359897</v>
      </c>
      <c r="AD12" s="831">
        <v>18.429905790685496</v>
      </c>
    </row>
    <row r="13" spans="1:31" ht="19.5" customHeight="1" x14ac:dyDescent="0.2">
      <c r="A13" s="949"/>
      <c r="B13" s="471">
        <v>30</v>
      </c>
      <c r="C13" s="472" t="s">
        <v>21</v>
      </c>
      <c r="D13" s="473">
        <v>57.7</v>
      </c>
      <c r="E13" s="474">
        <f>D13</f>
        <v>57.7</v>
      </c>
      <c r="F13" s="457">
        <f t="shared" si="14"/>
        <v>8.2866580496912245</v>
      </c>
      <c r="G13" s="475">
        <f t="shared" si="15"/>
        <v>91.713341950308774</v>
      </c>
      <c r="S13" s="372">
        <f>SUM(S4:S12)</f>
        <v>144.12545169952224</v>
      </c>
      <c r="AA13" s="427"/>
      <c r="AB13" s="832">
        <v>1.55883884004532E-2</v>
      </c>
      <c r="AC13" s="831">
        <v>44.065200743899865</v>
      </c>
      <c r="AD13" s="831">
        <v>16.286893489443152</v>
      </c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43</v>
      </c>
      <c r="E14" s="474">
        <f>D14</f>
        <v>43</v>
      </c>
      <c r="F14" s="457">
        <f t="shared" si="14"/>
        <v>6.1754990664943259</v>
      </c>
      <c r="G14" s="475">
        <f t="shared" si="15"/>
        <v>85.537842883814449</v>
      </c>
      <c r="U14" s="530"/>
      <c r="V14" s="530"/>
      <c r="W14" s="530"/>
      <c r="X14" s="530"/>
      <c r="Y14" s="530"/>
      <c r="Z14" s="530"/>
      <c r="AB14" s="832">
        <v>9.0484354179825553E-3</v>
      </c>
      <c r="AC14" s="831">
        <v>38.267148014439826</v>
      </c>
      <c r="AD14" s="831">
        <v>14.143881188200806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59.6</v>
      </c>
      <c r="E15" s="462">
        <f>D15</f>
        <v>59.6</v>
      </c>
      <c r="F15" s="479">
        <f t="shared" si="14"/>
        <v>8.5595289386758573</v>
      </c>
      <c r="G15" s="480">
        <f t="shared" si="15"/>
        <v>76.978313945138595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530"/>
      <c r="V15" s="532" t="s">
        <v>122</v>
      </c>
      <c r="W15" s="533"/>
      <c r="X15" s="530"/>
      <c r="Y15" s="530"/>
      <c r="Z15" s="530"/>
      <c r="AB15" s="832">
        <v>5.5705391139123676E-3</v>
      </c>
      <c r="AC15" s="831">
        <v>32.469095284979794</v>
      </c>
      <c r="AD15" s="831">
        <v>12.000868886958463</v>
      </c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638.79999999999995</v>
      </c>
      <c r="E16" s="485">
        <f>D16-C16</f>
        <v>8.3999999999999773</v>
      </c>
      <c r="F16" s="457">
        <f t="shared" si="14"/>
        <v>1.2063765618267954</v>
      </c>
      <c r="G16" s="463">
        <f t="shared" si="15"/>
        <v>75.771937383311794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530"/>
      <c r="V16" s="534" t="s">
        <v>123</v>
      </c>
      <c r="W16" s="535"/>
      <c r="X16" s="530"/>
      <c r="Y16" s="530"/>
      <c r="Z16" s="530"/>
      <c r="AB16" s="832">
        <v>3.2667602516833422E-3</v>
      </c>
      <c r="AC16" s="831">
        <v>15.074937096597122</v>
      </c>
      <c r="AD16" s="831">
        <v>5.5718319832304779</v>
      </c>
    </row>
    <row r="17" spans="1:30" ht="22.5" customHeight="1" thickBot="1" x14ac:dyDescent="0.25">
      <c r="A17" s="949"/>
      <c r="B17" s="486">
        <v>4</v>
      </c>
      <c r="C17" s="472">
        <v>519.29999999999995</v>
      </c>
      <c r="D17" s="562">
        <v>545.6</v>
      </c>
      <c r="E17" s="487">
        <f t="shared" ref="E17:E24" si="16">D17-C17</f>
        <v>26.300000000000068</v>
      </c>
      <c r="F17" s="457">
        <f t="shared" si="14"/>
        <v>3.7771075685767723</v>
      </c>
      <c r="G17" s="475">
        <f t="shared" si="15"/>
        <v>71.994829814735027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530"/>
      <c r="V17" s="536" t="s">
        <v>124</v>
      </c>
      <c r="W17" s="537"/>
      <c r="X17" s="530"/>
      <c r="Y17" s="530"/>
      <c r="Z17" s="530"/>
      <c r="AB17" s="832">
        <v>1.6417281247727215E-3</v>
      </c>
      <c r="AC17" s="831">
        <v>9.276884367137086</v>
      </c>
      <c r="AD17" s="831">
        <v>3.4288196819881329</v>
      </c>
    </row>
    <row r="18" spans="1:30" ht="21.95" customHeight="1" x14ac:dyDescent="0.2">
      <c r="A18" s="949"/>
      <c r="B18" s="486">
        <v>2</v>
      </c>
      <c r="C18" s="472">
        <v>506.2</v>
      </c>
      <c r="D18" s="562">
        <v>531.79999999999995</v>
      </c>
      <c r="E18" s="488">
        <f t="shared" si="16"/>
        <v>25.599999999999966</v>
      </c>
      <c r="F18" s="457">
        <f t="shared" si="14"/>
        <v>3.6765761884245247</v>
      </c>
      <c r="G18" s="475">
        <f t="shared" si="15"/>
        <v>68.318253626310508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530"/>
      <c r="V18" s="530"/>
      <c r="W18" s="530"/>
      <c r="X18" s="530"/>
      <c r="Y18" s="530"/>
      <c r="Z18" s="530"/>
    </row>
    <row r="19" spans="1:30" ht="21.95" customHeight="1" x14ac:dyDescent="0.2">
      <c r="A19" s="949"/>
      <c r="B19" s="486">
        <v>1</v>
      </c>
      <c r="C19" s="472">
        <v>383.8</v>
      </c>
      <c r="D19" s="562">
        <v>408</v>
      </c>
      <c r="E19" s="487">
        <f t="shared" si="16"/>
        <v>24.199999999999989</v>
      </c>
      <c r="F19" s="457">
        <f t="shared" si="14"/>
        <v>3.475513428120061</v>
      </c>
      <c r="G19" s="475">
        <f t="shared" si="15"/>
        <v>64.842740198190441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530"/>
      <c r="V19" s="538" t="s">
        <v>109</v>
      </c>
      <c r="W19" s="539">
        <v>11</v>
      </c>
      <c r="X19" s="530"/>
      <c r="Y19" s="530"/>
      <c r="Z19" s="530"/>
    </row>
    <row r="20" spans="1:30" ht="21.95" customHeight="1" x14ac:dyDescent="0.2">
      <c r="A20" s="949"/>
      <c r="B20" s="471">
        <v>0.63</v>
      </c>
      <c r="C20" s="472">
        <v>376.2</v>
      </c>
      <c r="D20" s="562">
        <v>406.5</v>
      </c>
      <c r="E20" s="488">
        <f t="shared" si="16"/>
        <v>30.300000000000011</v>
      </c>
      <c r="F20" s="457">
        <f t="shared" si="14"/>
        <v>4.3515725980180973</v>
      </c>
      <c r="G20" s="475">
        <f t="shared" si="15"/>
        <v>60.491167600172346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530"/>
      <c r="V20" s="538" t="s">
        <v>107</v>
      </c>
      <c r="W20" s="539">
        <v>0.61</v>
      </c>
      <c r="X20" s="530"/>
      <c r="Y20" s="530"/>
      <c r="Z20" s="530"/>
    </row>
    <row r="21" spans="1:30" ht="21.95" customHeight="1" thickBot="1" x14ac:dyDescent="0.25">
      <c r="A21" s="949"/>
      <c r="B21" s="489">
        <v>0.4</v>
      </c>
      <c r="C21" s="472">
        <v>330.8</v>
      </c>
      <c r="D21" s="562">
        <v>370.9</v>
      </c>
      <c r="E21" s="487">
        <f t="shared" si="16"/>
        <v>40.099999999999966</v>
      </c>
      <c r="F21" s="457">
        <f t="shared" si="14"/>
        <v>5.759011920149355</v>
      </c>
      <c r="G21" s="475">
        <f t="shared" si="15"/>
        <v>54.732155680022991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530"/>
      <c r="V21" s="538" t="s">
        <v>108</v>
      </c>
      <c r="W21" s="539">
        <v>4.5999999999999999E-3</v>
      </c>
      <c r="X21" s="530" t="s">
        <v>339</v>
      </c>
      <c r="Y21" s="530">
        <v>3.6999999999999998E-2</v>
      </c>
      <c r="Z21" s="530"/>
    </row>
    <row r="22" spans="1:30" ht="21.95" customHeight="1" thickBot="1" x14ac:dyDescent="0.3">
      <c r="A22" s="949"/>
      <c r="B22" s="489">
        <v>0.2</v>
      </c>
      <c r="C22" s="472">
        <v>326.10000000000002</v>
      </c>
      <c r="D22" s="562">
        <v>416.1</v>
      </c>
      <c r="E22" s="488">
        <f t="shared" si="16"/>
        <v>90</v>
      </c>
      <c r="F22" s="457">
        <f t="shared" si="14"/>
        <v>12.925463162429986</v>
      </c>
      <c r="G22" s="475">
        <f t="shared" si="15"/>
        <v>41.806692517593007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540" t="s">
        <v>119</v>
      </c>
      <c r="V22" s="541" t="s">
        <v>106</v>
      </c>
      <c r="W22" s="542">
        <f>W20/W21</f>
        <v>132.60869565217391</v>
      </c>
      <c r="X22" s="530"/>
      <c r="Y22" s="530"/>
      <c r="Z22" s="530"/>
    </row>
    <row r="23" spans="1:30" ht="21.95" customHeight="1" thickBot="1" x14ac:dyDescent="0.25">
      <c r="A23" s="949"/>
      <c r="B23" s="489">
        <v>0.1</v>
      </c>
      <c r="C23" s="472">
        <v>304.39999999999998</v>
      </c>
      <c r="D23" s="562">
        <v>334.8</v>
      </c>
      <c r="E23" s="487">
        <f t="shared" si="16"/>
        <v>30.400000000000034</v>
      </c>
      <c r="F23" s="457">
        <f t="shared" si="14"/>
        <v>4.3659342237541336</v>
      </c>
      <c r="G23" s="490">
        <f t="shared" si="15"/>
        <v>37.440758293838876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530"/>
      <c r="V23" s="530"/>
      <c r="W23" s="530"/>
      <c r="X23" s="530"/>
      <c r="Y23" s="530"/>
      <c r="Z23" s="530"/>
    </row>
    <row r="24" spans="1:30" ht="21.95" customHeight="1" thickBot="1" x14ac:dyDescent="0.3">
      <c r="A24" s="951"/>
      <c r="B24" s="491">
        <v>6.3E-2</v>
      </c>
      <c r="C24" s="472">
        <v>313.7</v>
      </c>
      <c r="D24" s="562">
        <v>317.60000000000002</v>
      </c>
      <c r="E24" s="488">
        <f t="shared" si="16"/>
        <v>3.9000000000000341</v>
      </c>
      <c r="F24" s="492">
        <f t="shared" si="14"/>
        <v>0.5601034037053042</v>
      </c>
      <c r="G24" s="493">
        <f t="shared" si="15"/>
        <v>36.88065489013357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530"/>
      <c r="V24" s="543" t="s">
        <v>111</v>
      </c>
      <c r="W24" s="544">
        <f>0.0116*(W21*W21)*(0.7+0.03*W19)</f>
        <v>2.5281967999999991E-7</v>
      </c>
      <c r="X24" s="530"/>
      <c r="Y24" s="530"/>
      <c r="Z24" s="530"/>
    </row>
    <row r="25" spans="1:30" ht="21.95" customHeight="1" thickBot="1" x14ac:dyDescent="0.3">
      <c r="A25" s="816"/>
      <c r="B25" s="476" t="s">
        <v>14</v>
      </c>
      <c r="C25" s="495">
        <v>367.5</v>
      </c>
      <c r="D25" s="563">
        <v>368.7</v>
      </c>
      <c r="E25" s="496">
        <f>D25-C25+(G6-C26)</f>
        <v>256.8</v>
      </c>
      <c r="F25" s="457">
        <f t="shared" si="14"/>
        <v>36.880654890133563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530"/>
      <c r="V25" s="545"/>
      <c r="W25" s="546"/>
      <c r="X25" s="530"/>
      <c r="Y25" s="530"/>
      <c r="Z25" s="530"/>
    </row>
    <row r="26" spans="1:30" ht="21.95" customHeight="1" x14ac:dyDescent="0.2">
      <c r="A26" s="952" t="s">
        <v>40</v>
      </c>
      <c r="B26" s="953"/>
      <c r="C26" s="497">
        <v>442.9</v>
      </c>
      <c r="D26" s="498" t="s">
        <v>19</v>
      </c>
      <c r="E26" s="499">
        <f>SUM(E12:E25)</f>
        <v>696.30000000000007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530"/>
      <c r="V26" s="547" t="s">
        <v>110</v>
      </c>
      <c r="W26" s="548">
        <v>1.16E-3</v>
      </c>
      <c r="X26" s="533"/>
      <c r="Y26" s="530"/>
      <c r="Z26" s="530"/>
    </row>
    <row r="27" spans="1:30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2.1999999999999318</v>
      </c>
      <c r="F27" s="505">
        <f>IF((E27/G6*100)&gt;1,"Fehler zu groß",(E27/G6*100))</f>
        <v>0.31496062992125007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530"/>
      <c r="V27" s="549" t="s">
        <v>112</v>
      </c>
      <c r="W27" s="550">
        <f>W26*(W21*W21)*(0.7+0.003*W19)</f>
        <v>1.7991924800000002E-8</v>
      </c>
      <c r="X27" s="551" t="str">
        <f>IF(W22&lt;5.000001,"OK","U größer 5")</f>
        <v>U größer 5</v>
      </c>
      <c r="Y27" s="530"/>
      <c r="Z27" s="530"/>
    </row>
    <row r="28" spans="1:30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530"/>
      <c r="V28" s="530"/>
      <c r="W28" s="530"/>
      <c r="X28" s="530"/>
      <c r="Y28" s="530"/>
      <c r="Z28" s="530"/>
    </row>
    <row r="29" spans="1:30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530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30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530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30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530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30" ht="21.95" customHeight="1" x14ac:dyDescent="0.35">
      <c r="A32" s="815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530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15" t="s">
        <v>45</v>
      </c>
      <c r="B33" s="81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530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81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530"/>
      <c r="V34" s="530"/>
      <c r="W34" s="530"/>
      <c r="X34" s="530"/>
      <c r="Y34" s="530"/>
      <c r="Z34" s="530"/>
    </row>
    <row r="35" spans="1:26" ht="21.95" customHeight="1" x14ac:dyDescent="0.3">
      <c r="A35" s="815" t="s">
        <v>36</v>
      </c>
      <c r="B35" s="518"/>
      <c r="C35" s="518"/>
      <c r="D35" s="518"/>
      <c r="E35" s="519"/>
      <c r="F35" s="520">
        <v>13.85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530"/>
      <c r="V35" s="545" t="s">
        <v>121</v>
      </c>
      <c r="W35" s="530" t="s">
        <v>336</v>
      </c>
      <c r="X35" s="530"/>
      <c r="Y35" s="530"/>
      <c r="Z35" s="530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11.596105458921345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530"/>
      <c r="V36" s="560">
        <f>(W24)</f>
        <v>2.5281967999999991E-7</v>
      </c>
      <c r="W36" s="838">
        <v>1.553E-6</v>
      </c>
      <c r="X36" s="530"/>
      <c r="Y36" s="530"/>
      <c r="Z36" s="530"/>
    </row>
    <row r="37" spans="1:26" x14ac:dyDescent="0.2">
      <c r="W37" s="842" t="s">
        <v>344</v>
      </c>
    </row>
    <row r="38" spans="1:26" x14ac:dyDescent="0.2">
      <c r="W38" s="530" t="s">
        <v>345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4"/>
  <dimension ref="A1:Z36"/>
  <sheetViews>
    <sheetView topLeftCell="Q10" zoomScaleNormal="10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 t="s">
        <v>137</v>
      </c>
      <c r="D3" s="118" t="s">
        <v>25</v>
      </c>
      <c r="E3" s="121">
        <v>39850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136</v>
      </c>
      <c r="D5" s="299"/>
      <c r="E5" s="139" t="s">
        <v>4</v>
      </c>
      <c r="F5" s="300"/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40</v>
      </c>
      <c r="D6" s="302"/>
      <c r="E6" s="127" t="s">
        <v>41</v>
      </c>
      <c r="F6" s="146"/>
      <c r="G6" s="147">
        <v>630.9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138.5</v>
      </c>
      <c r="E12" s="175">
        <f>D12</f>
        <v>138.5</v>
      </c>
      <c r="F12" s="170">
        <f t="shared" si="5"/>
        <v>21.95972728714127</v>
      </c>
      <c r="G12" s="176">
        <f t="shared" ref="G12:G24" si="6">G11-F12</f>
        <v>78.040272712858723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0</v>
      </c>
      <c r="E13" s="181">
        <f>D13</f>
        <v>0</v>
      </c>
      <c r="F13" s="170">
        <f t="shared" si="5"/>
        <v>0</v>
      </c>
      <c r="G13" s="182">
        <f t="shared" si="6"/>
        <v>78.040272712858723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57.6</v>
      </c>
      <c r="E14" s="181">
        <f>D14</f>
        <v>57.6</v>
      </c>
      <c r="F14" s="170">
        <f t="shared" si="5"/>
        <v>9.132709687648644</v>
      </c>
      <c r="G14" s="182">
        <f t="shared" si="6"/>
        <v>68.907563025210081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66.3</v>
      </c>
      <c r="E15" s="175">
        <f>D15</f>
        <v>66.3</v>
      </c>
      <c r="F15" s="194">
        <f t="shared" si="5"/>
        <v>10.512129380053906</v>
      </c>
      <c r="G15" s="195">
        <f t="shared" si="6"/>
        <v>58.395433645156174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646.79999999999995</v>
      </c>
      <c r="E16" s="202">
        <f>D16-C16</f>
        <v>16.399999999999977</v>
      </c>
      <c r="F16" s="170">
        <f t="shared" si="5"/>
        <v>2.6002853971777351</v>
      </c>
      <c r="G16" s="176">
        <f t="shared" si="6"/>
        <v>55.795148247978439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563.6</v>
      </c>
      <c r="E17" s="208">
        <f t="shared" ref="E17:E24" si="7">D17-C17</f>
        <v>44.300000000000068</v>
      </c>
      <c r="F17" s="170">
        <f t="shared" si="5"/>
        <v>7.0239416521325619</v>
      </c>
      <c r="G17" s="182">
        <f t="shared" si="6"/>
        <v>48.771206595845875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556.1</v>
      </c>
      <c r="E18" s="209">
        <f t="shared" si="7"/>
        <v>49.900000000000034</v>
      </c>
      <c r="F18" s="170">
        <f t="shared" si="5"/>
        <v>7.9118439828761735</v>
      </c>
      <c r="G18" s="182">
        <f t="shared" si="6"/>
        <v>40.859362612969704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417.7</v>
      </c>
      <c r="E19" s="208">
        <f t="shared" si="7"/>
        <v>33.899999999999977</v>
      </c>
      <c r="F19" s="170">
        <f t="shared" si="5"/>
        <v>5.3749801807515425</v>
      </c>
      <c r="G19" s="182">
        <f t="shared" si="6"/>
        <v>35.484382432218162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425.4</v>
      </c>
      <c r="E20" s="209">
        <f t="shared" si="7"/>
        <v>49.199999999999989</v>
      </c>
      <c r="F20" s="170">
        <f t="shared" si="5"/>
        <v>7.8008561915332146</v>
      </c>
      <c r="G20" s="182">
        <f t="shared" si="6"/>
        <v>27.683526240684948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11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396.2</v>
      </c>
      <c r="E21" s="208">
        <f t="shared" si="7"/>
        <v>65.399999999999977</v>
      </c>
      <c r="F21" s="170">
        <f t="shared" si="5"/>
        <v>10.369430791184394</v>
      </c>
      <c r="G21" s="182">
        <f t="shared" si="6"/>
        <v>17.314095449500556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0.23499999999999999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394.3</v>
      </c>
      <c r="E22" s="209">
        <f t="shared" si="7"/>
        <v>68.199999999999989</v>
      </c>
      <c r="F22" s="170">
        <f t="shared" si="5"/>
        <v>10.813381956556205</v>
      </c>
      <c r="G22" s="182">
        <f t="shared" si="6"/>
        <v>6.5007134929443513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46.808510638297875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318.7</v>
      </c>
      <c r="E23" s="208">
        <f t="shared" si="7"/>
        <v>14.300000000000011</v>
      </c>
      <c r="F23" s="170">
        <f t="shared" si="5"/>
        <v>2.2673220231488838</v>
      </c>
      <c r="G23" s="211">
        <f t="shared" si="6"/>
        <v>4.2333914697954675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317.60000000000002</v>
      </c>
      <c r="E24" s="209">
        <f t="shared" si="7"/>
        <v>3.9000000000000341</v>
      </c>
      <c r="F24" s="213">
        <f t="shared" si="5"/>
        <v>0.61836055176788229</v>
      </c>
      <c r="G24" s="214">
        <f t="shared" si="6"/>
        <v>3.6150309180275855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6.5982829999999978E-4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367.8</v>
      </c>
      <c r="E25" s="218">
        <f>D25-C25+(G6-C26)</f>
        <v>22.800000000000011</v>
      </c>
      <c r="F25" s="170">
        <f t="shared" si="5"/>
        <v>3.6150309180275899</v>
      </c>
      <c r="G25" s="176">
        <f>G24-F25</f>
        <v>-4.4408920985006262E-15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608.4</v>
      </c>
      <c r="D26" s="260" t="s">
        <v>19</v>
      </c>
      <c r="E26" s="221">
        <f>SUM(E12:E25)</f>
        <v>630.70000000000005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0.19999999999993179</v>
      </c>
      <c r="F27" s="310">
        <f>IF((E27/G6*100)&gt;1,"Fehler zu groß",(E27/G6*100))</f>
        <v>3.1700744967495927E-2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4.6956712999999993E-5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3.3E-4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4.9491414999999989E-4</v>
      </c>
      <c r="W36" s="839">
        <v>6.8360000000000003E-4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5"/>
  <dimension ref="A1:Z36"/>
  <sheetViews>
    <sheetView topLeftCell="S11" zoomScaleNormal="10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106</v>
      </c>
      <c r="D3" s="118" t="s">
        <v>25</v>
      </c>
      <c r="E3" s="121">
        <v>39850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138</v>
      </c>
      <c r="D5" s="299"/>
      <c r="E5" s="139" t="s">
        <v>4</v>
      </c>
      <c r="F5" s="300" t="s">
        <v>139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609.4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172.4</v>
      </c>
      <c r="E13" s="181">
        <f>D13</f>
        <v>172.4</v>
      </c>
      <c r="F13" s="170">
        <f t="shared" si="5"/>
        <v>28.327308577062116</v>
      </c>
      <c r="G13" s="182">
        <f t="shared" si="6"/>
        <v>71.672691422937888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72.900000000000006</v>
      </c>
      <c r="E14" s="181">
        <f>D14</f>
        <v>72.900000000000006</v>
      </c>
      <c r="F14" s="170">
        <f t="shared" si="5"/>
        <v>11.978310877423597</v>
      </c>
      <c r="G14" s="182">
        <f t="shared" si="6"/>
        <v>59.694380545514292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78.900000000000006</v>
      </c>
      <c r="E15" s="175">
        <f>D15</f>
        <v>78.900000000000006</v>
      </c>
      <c r="F15" s="194">
        <f t="shared" si="5"/>
        <v>12.964180085442001</v>
      </c>
      <c r="G15" s="195">
        <f t="shared" si="6"/>
        <v>46.73020046007229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639.5</v>
      </c>
      <c r="E16" s="202">
        <f>D16-C16</f>
        <v>9.1000000000000227</v>
      </c>
      <c r="F16" s="170">
        <f t="shared" si="5"/>
        <v>1.4952349654945816</v>
      </c>
      <c r="G16" s="176">
        <f t="shared" si="6"/>
        <v>45.234965494577708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560.4</v>
      </c>
      <c r="E17" s="208">
        <f t="shared" ref="E17:E24" si="7">D17-C17</f>
        <v>41.100000000000023</v>
      </c>
      <c r="F17" s="170">
        <f t="shared" si="5"/>
        <v>6.7532040749260638</v>
      </c>
      <c r="G17" s="182">
        <f t="shared" si="6"/>
        <v>38.481761419651647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546</v>
      </c>
      <c r="E18" s="209">
        <f t="shared" si="7"/>
        <v>39.800000000000011</v>
      </c>
      <c r="F18" s="170">
        <f t="shared" si="5"/>
        <v>6.5395990798554084</v>
      </c>
      <c r="G18" s="182">
        <f t="shared" si="6"/>
        <v>31.942162339796241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421.1</v>
      </c>
      <c r="E19" s="208">
        <f t="shared" si="7"/>
        <v>37.300000000000011</v>
      </c>
      <c r="F19" s="170">
        <f t="shared" si="5"/>
        <v>6.1288202431810737</v>
      </c>
      <c r="G19" s="182">
        <f t="shared" si="6"/>
        <v>25.813342096615166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435.4</v>
      </c>
      <c r="E20" s="209">
        <f t="shared" si="7"/>
        <v>59.199999999999989</v>
      </c>
      <c r="F20" s="170">
        <f t="shared" si="5"/>
        <v>9.7272428524482404</v>
      </c>
      <c r="G20" s="182">
        <f t="shared" si="6"/>
        <v>16.086099244166924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20.05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382</v>
      </c>
      <c r="E21" s="208">
        <f t="shared" si="7"/>
        <v>51.199999999999989</v>
      </c>
      <c r="F21" s="170">
        <f t="shared" si="5"/>
        <v>8.4127505750903708</v>
      </c>
      <c r="G21" s="182">
        <f t="shared" si="6"/>
        <v>7.6733486690765531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0.43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350.2</v>
      </c>
      <c r="E22" s="209">
        <f t="shared" si="7"/>
        <v>24.099999999999966</v>
      </c>
      <c r="F22" s="170">
        <f t="shared" si="5"/>
        <v>3.9599079855405797</v>
      </c>
      <c r="G22" s="182">
        <f t="shared" si="6"/>
        <v>3.7134406835359735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46.627906976744185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311.2</v>
      </c>
      <c r="E23" s="208">
        <f t="shared" si="7"/>
        <v>6.8000000000000114</v>
      </c>
      <c r="F23" s="170">
        <f t="shared" si="5"/>
        <v>1.1173184357541921</v>
      </c>
      <c r="G23" s="211">
        <f t="shared" si="6"/>
        <v>2.5961222477817811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315.7</v>
      </c>
      <c r="E24" s="209">
        <f t="shared" si="7"/>
        <v>2</v>
      </c>
      <c r="F24" s="213">
        <f t="shared" si="5"/>
        <v>0.32862306933946772</v>
      </c>
      <c r="G24" s="214">
        <f t="shared" si="6"/>
        <v>2.2674991784423133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2.209185199999999E-3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368.8</v>
      </c>
      <c r="E25" s="218">
        <f>D25-C25+(G6-C26)</f>
        <v>13.800000000000011</v>
      </c>
      <c r="F25" s="170">
        <f t="shared" si="5"/>
        <v>2.2674991784423288</v>
      </c>
      <c r="G25" s="176">
        <f>G24-F25</f>
        <v>-1.5543122344752192E-14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596.9</v>
      </c>
      <c r="D26" s="260" t="s">
        <v>19</v>
      </c>
      <c r="E26" s="221">
        <f>SUM(E12:E25)</f>
        <v>608.59999999999991</v>
      </c>
      <c r="F26" s="305">
        <f>SUM(F12:F25)</f>
        <v>100.00000000000003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0.80000000000006821</v>
      </c>
      <c r="F27" s="310">
        <f>IF((E27/G6*100)&gt;1,"Fehler zu groß",(E27/G6*100))</f>
        <v>0.13127666557270565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1.5721677199999999E-4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1.2999999999999999E-3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1.7545925999999995E-3</v>
      </c>
      <c r="W36" s="839">
        <v>1.884E-3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6"/>
  <dimension ref="A1:Z36"/>
  <sheetViews>
    <sheetView topLeftCell="V8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 t="s">
        <v>166</v>
      </c>
      <c r="D3" s="118" t="s">
        <v>25</v>
      </c>
      <c r="E3" s="121">
        <v>39841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/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76">
        <v>460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93.8</v>
      </c>
      <c r="E13" s="181">
        <f>D13</f>
        <v>93.8</v>
      </c>
      <c r="F13" s="170">
        <f t="shared" si="5"/>
        <v>20.426829268292682</v>
      </c>
      <c r="G13" s="182">
        <f t="shared" si="6"/>
        <v>79.573170731707322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55.7</v>
      </c>
      <c r="E14" s="181">
        <f>D14</f>
        <v>55.7</v>
      </c>
      <c r="F14" s="170">
        <f t="shared" si="5"/>
        <v>12.129790940766549</v>
      </c>
      <c r="G14" s="182">
        <f t="shared" si="6"/>
        <v>67.443379790940767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49.6</v>
      </c>
      <c r="E15" s="175">
        <f>D15</f>
        <v>49.6</v>
      </c>
      <c r="F15" s="194">
        <f t="shared" si="5"/>
        <v>10.801393728222996</v>
      </c>
      <c r="G15" s="195">
        <f t="shared" si="6"/>
        <v>56.64198606271777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645.9</v>
      </c>
      <c r="E16" s="202">
        <f>D16-C16</f>
        <v>15.5</v>
      </c>
      <c r="F16" s="170">
        <f t="shared" si="5"/>
        <v>3.3754355400696858</v>
      </c>
      <c r="G16" s="176">
        <f t="shared" si="6"/>
        <v>53.266550522648082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560.9</v>
      </c>
      <c r="E17" s="208">
        <f t="shared" ref="E17:E24" si="7">D17-C17</f>
        <v>41.600000000000023</v>
      </c>
      <c r="F17" s="170">
        <f t="shared" si="5"/>
        <v>9.0592334494773574</v>
      </c>
      <c r="G17" s="182">
        <f t="shared" si="6"/>
        <v>44.207317073170728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552.29999999999995</v>
      </c>
      <c r="E18" s="209">
        <f t="shared" si="7"/>
        <v>46.099999999999966</v>
      </c>
      <c r="F18" s="170">
        <f t="shared" si="5"/>
        <v>10.039198606271768</v>
      </c>
      <c r="G18" s="182">
        <f t="shared" si="6"/>
        <v>34.16811846689896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422.1</v>
      </c>
      <c r="E19" s="208">
        <f t="shared" si="7"/>
        <v>38.300000000000011</v>
      </c>
      <c r="F19" s="170">
        <f t="shared" si="5"/>
        <v>8.3405923344947759</v>
      </c>
      <c r="G19" s="182">
        <f t="shared" si="6"/>
        <v>25.827526132404184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412.4</v>
      </c>
      <c r="E20" s="209">
        <f t="shared" si="7"/>
        <v>36.199999999999989</v>
      </c>
      <c r="F20" s="170">
        <f t="shared" si="5"/>
        <v>7.8832752613240382</v>
      </c>
      <c r="G20" s="182">
        <f t="shared" si="6"/>
        <v>17.944250871080147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12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371.1</v>
      </c>
      <c r="E21" s="208">
        <f t="shared" si="7"/>
        <v>40.300000000000011</v>
      </c>
      <c r="F21" s="170">
        <f t="shared" si="5"/>
        <v>8.7761324041811868</v>
      </c>
      <c r="G21" s="182">
        <f t="shared" si="6"/>
        <v>9.1681184668989602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357.7</v>
      </c>
      <c r="E22" s="209">
        <f t="shared" si="7"/>
        <v>31.599999999999966</v>
      </c>
      <c r="F22" s="170">
        <f t="shared" si="5"/>
        <v>6.8815331010452878</v>
      </c>
      <c r="G22" s="182">
        <f t="shared" si="6"/>
        <v>2.2865853658536723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29.26829268292683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308.89999999999998</v>
      </c>
      <c r="E23" s="208">
        <f t="shared" si="7"/>
        <v>4.5</v>
      </c>
      <c r="F23" s="170">
        <f t="shared" si="5"/>
        <v>0.97996515679442497</v>
      </c>
      <c r="G23" s="211">
        <f t="shared" si="6"/>
        <v>1.3066202090592474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314</v>
      </c>
      <c r="E24" s="209">
        <f t="shared" si="7"/>
        <v>0.30000000000001137</v>
      </c>
      <c r="F24" s="213">
        <f t="shared" si="5"/>
        <v>6.5331010452964133E-2</v>
      </c>
      <c r="G24" s="214">
        <f t="shared" si="6"/>
        <v>1.2412891986062833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2.0084587999999993E-3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367.6</v>
      </c>
      <c r="E25" s="218">
        <f>D25-C25+(G6-C26)</f>
        <v>5.7000000000000455</v>
      </c>
      <c r="F25" s="170">
        <f t="shared" si="5"/>
        <v>1.2412891986062815</v>
      </c>
      <c r="G25" s="176">
        <f>G24-F25</f>
        <v>1.7763568394002505E-15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101">
        <v>454.4</v>
      </c>
      <c r="D26" s="260" t="s">
        <v>19</v>
      </c>
      <c r="E26" s="221">
        <f>SUM(E12:E25)</f>
        <v>459.20000000000005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0.79999999999995453</v>
      </c>
      <c r="F27" s="310">
        <f>IF((E27/G6*100)&gt;1,"Fehler zu groß",(E27/G6*100))</f>
        <v>0.17391304347825098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1.4293206799999997E-4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1.1000000000000001E-3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1.5542293999999996E-3</v>
      </c>
      <c r="W36" s="839">
        <v>2.3319999999999999E-3</v>
      </c>
    </row>
  </sheetData>
  <sheetProtection selectLockedCells="1"/>
  <protectedRanges>
    <protectedRange password="C4F2" sqref="E3:E4 D11:D25 C3:C6 D5:D6 G3:G5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G6" name="Bereich1_5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7"/>
  <dimension ref="A1:Z36"/>
  <sheetViews>
    <sheetView topLeftCell="R10" zoomScaleNormal="10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108</v>
      </c>
      <c r="D3" s="118" t="s">
        <v>25</v>
      </c>
      <c r="E3" s="121">
        <v>39848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446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/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48.8</v>
      </c>
      <c r="E13" s="181">
        <f>D13</f>
        <v>48.8</v>
      </c>
      <c r="F13" s="170">
        <f t="shared" si="5"/>
        <v>10.968757024050346</v>
      </c>
      <c r="G13" s="182">
        <f t="shared" si="6"/>
        <v>89.031242975949652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25.9</v>
      </c>
      <c r="E14" s="181">
        <f>D14</f>
        <v>25.9</v>
      </c>
      <c r="F14" s="170">
        <f t="shared" si="5"/>
        <v>5.8215329287480326</v>
      </c>
      <c r="G14" s="182">
        <f t="shared" si="6"/>
        <v>83.209710047201625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95.3</v>
      </c>
      <c r="E15" s="175">
        <f>D15</f>
        <v>95.3</v>
      </c>
      <c r="F15" s="194">
        <f t="shared" si="5"/>
        <v>21.420543942458977</v>
      </c>
      <c r="G15" s="195">
        <f t="shared" si="6"/>
        <v>61.789166104742648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649.29999999999995</v>
      </c>
      <c r="E16" s="202">
        <f>D16-C16</f>
        <v>18.899999999999977</v>
      </c>
      <c r="F16" s="170">
        <f t="shared" si="5"/>
        <v>4.2481456507080191</v>
      </c>
      <c r="G16" s="176">
        <f t="shared" si="6"/>
        <v>57.54102045403463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559.5</v>
      </c>
      <c r="E17" s="208">
        <f t="shared" ref="E17:E24" si="7">D17-C17</f>
        <v>40.200000000000045</v>
      </c>
      <c r="F17" s="170">
        <f t="shared" si="5"/>
        <v>9.0357383681726322</v>
      </c>
      <c r="G17" s="182">
        <f t="shared" si="6"/>
        <v>48.505282085862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535.5</v>
      </c>
      <c r="E18" s="209">
        <f t="shared" si="7"/>
        <v>29.300000000000011</v>
      </c>
      <c r="F18" s="170">
        <f t="shared" si="5"/>
        <v>6.5857496066531827</v>
      </c>
      <c r="G18" s="182">
        <f t="shared" si="6"/>
        <v>41.919532479208819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410.9</v>
      </c>
      <c r="E19" s="208">
        <f t="shared" si="7"/>
        <v>27.099999999999966</v>
      </c>
      <c r="F19" s="170">
        <f t="shared" si="5"/>
        <v>6.0912564621263128</v>
      </c>
      <c r="G19" s="182">
        <f t="shared" si="6"/>
        <v>35.828276017082509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432.7</v>
      </c>
      <c r="E20" s="209">
        <f t="shared" si="7"/>
        <v>56.5</v>
      </c>
      <c r="F20" s="170">
        <f t="shared" si="5"/>
        <v>12.699483029894356</v>
      </c>
      <c r="G20" s="182">
        <f t="shared" si="6"/>
        <v>23.128792987188152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8.0500000000000007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380.8</v>
      </c>
      <c r="E21" s="208">
        <f t="shared" si="7"/>
        <v>50</v>
      </c>
      <c r="F21" s="170">
        <f t="shared" si="5"/>
        <v>11.238480557428634</v>
      </c>
      <c r="G21" s="182">
        <f t="shared" si="6"/>
        <v>11.890312429759518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0.31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354.3</v>
      </c>
      <c r="E22" s="209">
        <f t="shared" si="7"/>
        <v>28.199999999999989</v>
      </c>
      <c r="F22" s="170">
        <f t="shared" si="5"/>
        <v>6.3385030343897473</v>
      </c>
      <c r="G22" s="182">
        <f t="shared" si="6"/>
        <v>5.5518093953697711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25.967741935483872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314.8</v>
      </c>
      <c r="E23" s="208">
        <f t="shared" si="7"/>
        <v>10.400000000000034</v>
      </c>
      <c r="F23" s="170">
        <f t="shared" si="5"/>
        <v>2.3376039559451636</v>
      </c>
      <c r="G23" s="211">
        <f t="shared" si="6"/>
        <v>3.2142054394246076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316.2</v>
      </c>
      <c r="E24" s="209">
        <f t="shared" si="7"/>
        <v>2.5</v>
      </c>
      <c r="F24" s="213">
        <f t="shared" si="5"/>
        <v>0.5619240278714317</v>
      </c>
      <c r="G24" s="214">
        <f t="shared" si="6"/>
        <v>2.6522814115531759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1.1482027999999997E-3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368.1</v>
      </c>
      <c r="E25" s="218">
        <f>D25-C25+(G6-C26)</f>
        <v>11.800000000000011</v>
      </c>
      <c r="F25" s="170">
        <f t="shared" si="5"/>
        <v>2.6522814115531603</v>
      </c>
      <c r="G25" s="176">
        <f>G24-F25</f>
        <v>1.5543122344752192E-14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434.8</v>
      </c>
      <c r="D26" s="260" t="s">
        <v>19</v>
      </c>
      <c r="E26" s="221">
        <f>SUM(E12:E25)</f>
        <v>444.90000000000003</v>
      </c>
      <c r="F26" s="305">
        <f>SUM(F12:F25)</f>
        <v>99.999999999999986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1.0999999999999659</v>
      </c>
      <c r="F27" s="310">
        <f>IF((E27/G6*100)&gt;1,"Fehler zu groß",(E27/G6*100))</f>
        <v>0.24663677130044079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8.1711907999999995E-5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5.4000000000000001E-4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8.441013999999998E-4</v>
      </c>
      <c r="W36" s="839">
        <v>9.3470000000000001E-4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8"/>
  <dimension ref="A1:AE36"/>
  <sheetViews>
    <sheetView topLeftCell="U10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109</v>
      </c>
      <c r="D3" s="580" t="s">
        <v>25</v>
      </c>
      <c r="E3" s="582">
        <v>39875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7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220</v>
      </c>
      <c r="D5" s="617"/>
      <c r="E5" s="618" t="s">
        <v>4</v>
      </c>
      <c r="F5" s="619" t="s">
        <v>221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608.5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3"/>
        <v>0</v>
      </c>
      <c r="G13" s="669">
        <f t="shared" si="14"/>
        <v>100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79.3</v>
      </c>
      <c r="E14" s="668">
        <f>D14</f>
        <v>79.3</v>
      </c>
      <c r="F14" s="651">
        <f t="shared" si="13"/>
        <v>13.062098501070659</v>
      </c>
      <c r="G14" s="669">
        <f t="shared" si="14"/>
        <v>86.937901498929335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131.5</v>
      </c>
      <c r="E15" s="656">
        <f>D15</f>
        <v>131.5</v>
      </c>
      <c r="F15" s="673">
        <f t="shared" si="13"/>
        <v>21.660352495470264</v>
      </c>
      <c r="G15" s="674">
        <f t="shared" si="14"/>
        <v>65.277549003459072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663</v>
      </c>
      <c r="E16" s="678">
        <f>D16-C16</f>
        <v>32.600000000000023</v>
      </c>
      <c r="F16" s="651">
        <f t="shared" si="13"/>
        <v>5.369790808762974</v>
      </c>
      <c r="G16" s="657">
        <f t="shared" si="14"/>
        <v>59.9077581946961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5" ht="22.5" customHeight="1" thickBot="1" x14ac:dyDescent="0.25">
      <c r="A17" s="986"/>
      <c r="B17" s="679">
        <v>4</v>
      </c>
      <c r="C17" s="666">
        <v>519.29999999999995</v>
      </c>
      <c r="D17" s="680">
        <v>586.4</v>
      </c>
      <c r="E17" s="681">
        <f t="shared" ref="E17:E24" si="15">D17-C17</f>
        <v>67.100000000000023</v>
      </c>
      <c r="F17" s="651">
        <f t="shared" si="13"/>
        <v>11.052544885521332</v>
      </c>
      <c r="G17" s="669">
        <f t="shared" si="14"/>
        <v>48.855213309174772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5" ht="21.95" customHeight="1" x14ac:dyDescent="0.2">
      <c r="A18" s="986"/>
      <c r="B18" s="679">
        <v>2</v>
      </c>
      <c r="C18" s="666">
        <v>506.2</v>
      </c>
      <c r="D18" s="680">
        <v>563.9</v>
      </c>
      <c r="E18" s="682">
        <f t="shared" si="15"/>
        <v>57.699999999999989</v>
      </c>
      <c r="F18" s="651">
        <f t="shared" si="13"/>
        <v>9.5042002964915131</v>
      </c>
      <c r="G18" s="669">
        <f t="shared" si="14"/>
        <v>39.351013012683261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5" ht="21.95" customHeight="1" x14ac:dyDescent="0.2">
      <c r="A19" s="986"/>
      <c r="B19" s="679">
        <v>1</v>
      </c>
      <c r="C19" s="666">
        <v>383.8</v>
      </c>
      <c r="D19" s="680">
        <v>439.7</v>
      </c>
      <c r="E19" s="681">
        <f t="shared" si="15"/>
        <v>55.899999999999977</v>
      </c>
      <c r="F19" s="651">
        <f t="shared" si="13"/>
        <v>9.2077087794432497</v>
      </c>
      <c r="G19" s="669">
        <f t="shared" si="14"/>
        <v>30.143304233240009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5" ht="21.95" customHeight="1" x14ac:dyDescent="0.2">
      <c r="A20" s="986"/>
      <c r="B20" s="665">
        <v>0.63</v>
      </c>
      <c r="C20" s="666">
        <v>376.2</v>
      </c>
      <c r="D20" s="680">
        <v>454.7</v>
      </c>
      <c r="E20" s="682">
        <f t="shared" si="15"/>
        <v>78.5</v>
      </c>
      <c r="F20" s="651">
        <f t="shared" si="13"/>
        <v>12.930324493493655</v>
      </c>
      <c r="G20" s="669">
        <f t="shared" si="14"/>
        <v>17.212979739746352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6.4370000000000003</v>
      </c>
      <c r="X20" s="530" t="s">
        <v>343</v>
      </c>
    </row>
    <row r="21" spans="1:25" ht="21.95" customHeight="1" thickBot="1" x14ac:dyDescent="0.25">
      <c r="A21" s="986"/>
      <c r="B21" s="683">
        <v>0.4</v>
      </c>
      <c r="C21" s="666">
        <v>330.8</v>
      </c>
      <c r="D21" s="680">
        <v>373.8</v>
      </c>
      <c r="E21" s="681">
        <f t="shared" si="15"/>
        <v>43</v>
      </c>
      <c r="F21" s="651">
        <f t="shared" si="13"/>
        <v>7.0828529072640407</v>
      </c>
      <c r="G21" s="669">
        <f t="shared" si="14"/>
        <v>10.130126832482311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0.4</v>
      </c>
    </row>
    <row r="22" spans="1:25" ht="21.95" customHeight="1" thickBot="1" x14ac:dyDescent="0.3">
      <c r="A22" s="986"/>
      <c r="B22" s="683">
        <v>0.2</v>
      </c>
      <c r="C22" s="666">
        <v>326.10000000000002</v>
      </c>
      <c r="D22" s="680">
        <v>351.7</v>
      </c>
      <c r="E22" s="682">
        <f t="shared" si="15"/>
        <v>25.599999999999966</v>
      </c>
      <c r="F22" s="651">
        <f t="shared" si="13"/>
        <v>4.216768242464167</v>
      </c>
      <c r="G22" s="669">
        <f t="shared" si="14"/>
        <v>5.9133585900181442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16.092500000000001</v>
      </c>
    </row>
    <row r="23" spans="1:25" ht="21.95" customHeight="1" thickBot="1" x14ac:dyDescent="0.25">
      <c r="A23" s="986"/>
      <c r="B23" s="683">
        <v>0.1</v>
      </c>
      <c r="C23" s="666">
        <v>304.39999999999998</v>
      </c>
      <c r="D23" s="680">
        <v>311.3</v>
      </c>
      <c r="E23" s="681">
        <f t="shared" si="15"/>
        <v>6.9000000000000341</v>
      </c>
      <c r="F23" s="651">
        <f t="shared" si="13"/>
        <v>1.1365508153516772</v>
      </c>
      <c r="G23" s="684">
        <f t="shared" si="14"/>
        <v>4.7768077746664668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5" ht="21.95" customHeight="1" thickBot="1" x14ac:dyDescent="0.3">
      <c r="A24" s="988"/>
      <c r="B24" s="685">
        <v>6.3E-2</v>
      </c>
      <c r="C24" s="666">
        <v>313.7</v>
      </c>
      <c r="D24" s="680">
        <v>316.3</v>
      </c>
      <c r="E24" s="682">
        <f t="shared" si="15"/>
        <v>2.6000000000000227</v>
      </c>
      <c r="F24" s="686">
        <f t="shared" si="13"/>
        <v>0.42826552462527134</v>
      </c>
      <c r="G24" s="687">
        <f t="shared" si="14"/>
        <v>4.348542250041195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1.9116799999999998E-3</v>
      </c>
    </row>
    <row r="25" spans="1:25" ht="21.95" customHeight="1" thickBot="1" x14ac:dyDescent="0.3">
      <c r="A25" s="806"/>
      <c r="B25" s="670" t="s">
        <v>14</v>
      </c>
      <c r="C25" s="689">
        <v>367.5</v>
      </c>
      <c r="D25" s="690">
        <v>369.8</v>
      </c>
      <c r="E25" s="691">
        <f>D25-C25+(G6-C26)</f>
        <v>26.400000000000034</v>
      </c>
      <c r="F25" s="651">
        <f t="shared" si="13"/>
        <v>4.3485422500411843</v>
      </c>
      <c r="G25" s="657">
        <f>G24-F25</f>
        <v>1.0658141036401503E-14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5" ht="21.95" customHeight="1" x14ac:dyDescent="0.2">
      <c r="A26" s="989" t="s">
        <v>40</v>
      </c>
      <c r="B26" s="990"/>
      <c r="C26" s="692">
        <v>584.4</v>
      </c>
      <c r="D26" s="693" t="s">
        <v>19</v>
      </c>
      <c r="E26" s="694">
        <f>SUM(E12:E25)</f>
        <v>607.10000000000014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5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1.3999999999998636</v>
      </c>
      <c r="F27" s="700">
        <f>IF((E27/G6*100)&gt;1,"Fehler zu groß",(E27/G6*100))</f>
        <v>0.23007395234180172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1.3604480000000002E-4</v>
      </c>
      <c r="X27" s="551" t="str">
        <f>IF(W22&lt;5.000001,"OK","U größer 5")</f>
        <v>U größer 5</v>
      </c>
    </row>
    <row r="28" spans="1:25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5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>
        <v>1.1000000000000001E-3</v>
      </c>
      <c r="X29" s="554" t="s">
        <v>113</v>
      </c>
      <c r="Y29" s="555">
        <v>1.09E-3</v>
      </c>
    </row>
    <row r="30" spans="1:25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</row>
    <row r="31" spans="1:25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481" t="str">
        <f>IF(W21&gt;0.059,"OK","ungültig")</f>
        <v>OK</v>
      </c>
      <c r="X31" s="531"/>
      <c r="Y31" s="531"/>
    </row>
    <row r="32" spans="1:25" ht="21.95" customHeight="1" x14ac:dyDescent="0.35">
      <c r="A32" s="805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</row>
    <row r="33" spans="1:25" ht="21.95" customHeight="1" thickBot="1" x14ac:dyDescent="0.3">
      <c r="A33" s="805" t="s">
        <v>45</v>
      </c>
      <c r="B33" s="80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733" t="str">
        <f>IF(W22&gt;20.1,"ungültig","OK")</f>
        <v>OK</v>
      </c>
      <c r="X33" s="559"/>
      <c r="Y33" s="559"/>
    </row>
    <row r="34" spans="1:25" ht="21.95" customHeight="1" x14ac:dyDescent="0.25">
      <c r="A34" s="80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5" ht="21.95" customHeight="1" x14ac:dyDescent="0.3">
      <c r="A35" s="805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333</v>
      </c>
    </row>
    <row r="36" spans="1:25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(W24+Y29)/2</f>
        <v>1.5008399999999998E-3</v>
      </c>
      <c r="W36" s="838">
        <v>1.3929999999999999E-3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99"/>
  <dimension ref="A1:AE36"/>
  <sheetViews>
    <sheetView topLeftCell="Q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110</v>
      </c>
      <c r="D3" s="580" t="s">
        <v>25</v>
      </c>
      <c r="E3" s="582">
        <v>39870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135</v>
      </c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550.79999999999995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3"/>
        <v>0</v>
      </c>
      <c r="G13" s="669">
        <f t="shared" si="14"/>
        <v>100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41.1</v>
      </c>
      <c r="E14" s="668">
        <f>D14</f>
        <v>41.1</v>
      </c>
      <c r="F14" s="651">
        <f t="shared" si="13"/>
        <v>7.4781659388646311</v>
      </c>
      <c r="G14" s="669">
        <f t="shared" si="14"/>
        <v>92.521834061135365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119.2</v>
      </c>
      <c r="E15" s="656">
        <f>D15</f>
        <v>119.2</v>
      </c>
      <c r="F15" s="673">
        <f t="shared" si="13"/>
        <v>21.688500727802044</v>
      </c>
      <c r="G15" s="674">
        <f t="shared" si="14"/>
        <v>70.833333333333314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651.1</v>
      </c>
      <c r="E16" s="678">
        <f>D16-C16</f>
        <v>20.700000000000045</v>
      </c>
      <c r="F16" s="651">
        <f t="shared" si="13"/>
        <v>3.7663755458515373</v>
      </c>
      <c r="G16" s="657">
        <f t="shared" si="14"/>
        <v>67.066957787481783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570</v>
      </c>
      <c r="E17" s="681">
        <f t="shared" ref="E17:E24" si="15">D17-C17</f>
        <v>50.700000000000045</v>
      </c>
      <c r="F17" s="651">
        <f t="shared" si="13"/>
        <v>9.224890829694333</v>
      </c>
      <c r="G17" s="669">
        <f t="shared" si="14"/>
        <v>57.842066957787452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554.70000000000005</v>
      </c>
      <c r="E18" s="682">
        <f t="shared" si="15"/>
        <v>48.500000000000057</v>
      </c>
      <c r="F18" s="651">
        <f t="shared" si="13"/>
        <v>8.8245997088791963</v>
      </c>
      <c r="G18" s="669">
        <f t="shared" si="14"/>
        <v>49.017467248908254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440</v>
      </c>
      <c r="E19" s="681">
        <f t="shared" si="15"/>
        <v>56.199999999999989</v>
      </c>
      <c r="F19" s="651">
        <f t="shared" si="13"/>
        <v>10.225618631732168</v>
      </c>
      <c r="G19" s="669">
        <f t="shared" si="14"/>
        <v>38.791848617176086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510.7</v>
      </c>
      <c r="E20" s="682">
        <f t="shared" si="15"/>
        <v>134.5</v>
      </c>
      <c r="F20" s="651">
        <f t="shared" si="13"/>
        <v>24.472343522561868</v>
      </c>
      <c r="G20" s="669">
        <f t="shared" si="14"/>
        <v>14.319505094614218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4.55</v>
      </c>
      <c r="X20" s="116" t="s">
        <v>343</v>
      </c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376.8</v>
      </c>
      <c r="E21" s="681">
        <f t="shared" si="15"/>
        <v>46</v>
      </c>
      <c r="F21" s="651">
        <f t="shared" si="13"/>
        <v>8.3697234352256213</v>
      </c>
      <c r="G21" s="669">
        <f t="shared" si="14"/>
        <v>5.9497816593885968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0.51229999999999998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340.2</v>
      </c>
      <c r="E22" s="682">
        <f t="shared" si="15"/>
        <v>14.099999999999966</v>
      </c>
      <c r="F22" s="651">
        <f t="shared" si="13"/>
        <v>2.5655021834061076</v>
      </c>
      <c r="G22" s="669">
        <f t="shared" si="14"/>
        <v>3.3842794759824892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8.8815147374585202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309.2</v>
      </c>
      <c r="E23" s="681">
        <f t="shared" si="15"/>
        <v>4.8000000000000114</v>
      </c>
      <c r="F23" s="651">
        <f t="shared" si="13"/>
        <v>0.87336244541484942</v>
      </c>
      <c r="G23" s="684">
        <f t="shared" si="14"/>
        <v>2.51091703056764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315</v>
      </c>
      <c r="E24" s="682">
        <f t="shared" si="15"/>
        <v>1.3000000000000114</v>
      </c>
      <c r="F24" s="686">
        <f t="shared" si="13"/>
        <v>0.23653566229985654</v>
      </c>
      <c r="G24" s="687">
        <f t="shared" si="14"/>
        <v>2.2743813682677834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3.1357680129199994E-3</v>
      </c>
      <c r="X24" s="116"/>
      <c r="Y24" s="116"/>
      <c r="Z24" s="116"/>
    </row>
    <row r="25" spans="1:26" ht="21.95" customHeight="1" thickBot="1" x14ac:dyDescent="0.3">
      <c r="A25" s="730"/>
      <c r="B25" s="670" t="s">
        <v>14</v>
      </c>
      <c r="C25" s="689">
        <v>367.5</v>
      </c>
      <c r="D25" s="690">
        <v>367.7</v>
      </c>
      <c r="E25" s="691">
        <f>D25-C25+(G6-C26)</f>
        <v>12.499999999999943</v>
      </c>
      <c r="F25" s="651">
        <f t="shared" si="13"/>
        <v>2.2743813682678211</v>
      </c>
      <c r="G25" s="657">
        <f>G24-F25</f>
        <v>-3.7747582837255322E-14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538.5</v>
      </c>
      <c r="D26" s="693" t="s">
        <v>19</v>
      </c>
      <c r="E26" s="694">
        <f>SUM(E12:E25)</f>
        <v>549.59999999999991</v>
      </c>
      <c r="F26" s="695">
        <f>SUM(F12:F25)</f>
        <v>100.00000000000004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1.2000000000000455</v>
      </c>
      <c r="F27" s="700">
        <f>IF((E27/G6*100)&gt;1,"Fehler zu groß",(E27/G6*100))</f>
        <v>0.21786492374728494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2.2315708286119998E-4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1.6999999999999999E-3</v>
      </c>
      <c r="X29" s="286" t="s">
        <v>113</v>
      </c>
      <c r="Y29" s="288">
        <v>1.65E-3</v>
      </c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2.3928840064599997E-3</v>
      </c>
      <c r="W36" s="839">
        <v>1.5920000000000001E-3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0"/>
  <dimension ref="A1:AE36"/>
  <sheetViews>
    <sheetView topLeftCell="T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111</v>
      </c>
      <c r="D3" s="385" t="s">
        <v>25</v>
      </c>
      <c r="E3" s="387">
        <v>39871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19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408"/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>0.00178/(1+0.0337*K4+0.00022*K4^2)</f>
        <v>1.7799999999999999E-3</v>
      </c>
      <c r="W4" s="414">
        <f>1/(1+((2.31*K4-2)^2-182)*0.00001)</f>
        <v>1.0017831740498087</v>
      </c>
      <c r="X4" s="416">
        <f>4142.8*(1.03-U4)/10</f>
        <v>426.08698000000015</v>
      </c>
      <c r="Y4" s="417" t="e">
        <f t="shared" ref="Y4:Y12" si="4">X4+$AB$5+0.5*($AC$5-$AD$5/$AE$5)</f>
        <v>#DIV/0!</v>
      </c>
      <c r="Z4" s="418" t="e">
        <f t="shared" ref="Z4:Z12" si="5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163</v>
      </c>
      <c r="D5" s="422"/>
      <c r="E5" s="423" t="s">
        <v>4</v>
      </c>
      <c r="F5" s="424" t="s">
        <v>128</v>
      </c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6">M5+$G$33</f>
        <v>-998.5</v>
      </c>
      <c r="O5" s="410"/>
      <c r="P5" s="411">
        <f t="shared" si="1"/>
        <v>-998.5</v>
      </c>
      <c r="Q5" s="412" t="e">
        <f t="shared" ref="Q5:Q12" si="7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8">1+0.001*N5</f>
        <v>1.4999999999999458E-3</v>
      </c>
      <c r="V5" s="415">
        <f t="shared" ref="V5:V12" si="9">0.00178/(1+0.0337*K5+0.00022*K5^2)</f>
        <v>1.7799999999999999E-3</v>
      </c>
      <c r="W5" s="414">
        <f t="shared" ref="W5:W12" si="10">1/(1+((2.31*K5-2)^2-182)*0.00001)</f>
        <v>1.0017831740498087</v>
      </c>
      <c r="X5" s="416">
        <f t="shared" ref="X5:X12" si="11">4142.8*(1.03-U5)/10</f>
        <v>426.08698000000015</v>
      </c>
      <c r="Y5" s="417" t="e">
        <f t="shared" si="4"/>
        <v>#DIV/0!</v>
      </c>
      <c r="Z5" s="418" t="e">
        <f t="shared" si="5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271.39999999999998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6"/>
        <v>-998.5</v>
      </c>
      <c r="O6" s="410"/>
      <c r="P6" s="411">
        <f t="shared" si="1"/>
        <v>-998.5</v>
      </c>
      <c r="Q6" s="412" t="e">
        <f t="shared" si="7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8"/>
        <v>1.4999999999999458E-3</v>
      </c>
      <c r="V6" s="415">
        <f t="shared" si="9"/>
        <v>1.7799999999999999E-3</v>
      </c>
      <c r="W6" s="414">
        <f t="shared" si="10"/>
        <v>1.0017831740498087</v>
      </c>
      <c r="X6" s="416">
        <f t="shared" si="11"/>
        <v>426.08698000000015</v>
      </c>
      <c r="Y6" s="417" t="e">
        <f t="shared" si="4"/>
        <v>#DIV/0!</v>
      </c>
      <c r="Z6" s="418" t="e">
        <f t="shared" si="5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39"/>
      <c r="L7" s="409"/>
      <c r="M7" s="407">
        <f t="shared" si="0"/>
        <v>-1000</v>
      </c>
      <c r="N7" s="407">
        <f t="shared" si="6"/>
        <v>-998.5</v>
      </c>
      <c r="O7" s="410"/>
      <c r="P7" s="411">
        <f t="shared" si="1"/>
        <v>-998.5</v>
      </c>
      <c r="Q7" s="412" t="e">
        <f t="shared" si="7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8"/>
        <v>1.4999999999999458E-3</v>
      </c>
      <c r="V7" s="415">
        <f t="shared" si="9"/>
        <v>1.7799999999999999E-3</v>
      </c>
      <c r="W7" s="414">
        <f t="shared" si="10"/>
        <v>1.0017831740498087</v>
      </c>
      <c r="X7" s="416">
        <f t="shared" si="11"/>
        <v>426.08698000000015</v>
      </c>
      <c r="Y7" s="417" t="e">
        <f t="shared" si="4"/>
        <v>#DIV/0!</v>
      </c>
      <c r="Z7" s="418" t="e">
        <f t="shared" si="5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39"/>
      <c r="L8" s="409"/>
      <c r="M8" s="407">
        <f t="shared" si="0"/>
        <v>-1000</v>
      </c>
      <c r="N8" s="407">
        <f t="shared" si="6"/>
        <v>-998.5</v>
      </c>
      <c r="O8" s="410"/>
      <c r="P8" s="411">
        <f t="shared" si="1"/>
        <v>-998.5</v>
      </c>
      <c r="Q8" s="412" t="e">
        <f t="shared" si="7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8"/>
        <v>1.4999999999999458E-3</v>
      </c>
      <c r="V8" s="415">
        <f t="shared" si="9"/>
        <v>1.7799999999999999E-3</v>
      </c>
      <c r="W8" s="414">
        <f t="shared" si="10"/>
        <v>1.0017831740498087</v>
      </c>
      <c r="X8" s="416">
        <f t="shared" si="11"/>
        <v>426.08698000000015</v>
      </c>
      <c r="Y8" s="417" t="e">
        <f t="shared" si="4"/>
        <v>#DIV/0!</v>
      </c>
      <c r="Z8" s="418" t="e">
        <f t="shared" si="5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39"/>
      <c r="L9" s="409"/>
      <c r="M9" s="407">
        <f t="shared" si="0"/>
        <v>-1000</v>
      </c>
      <c r="N9" s="407">
        <f t="shared" si="6"/>
        <v>-998.5</v>
      </c>
      <c r="O9" s="410"/>
      <c r="P9" s="411">
        <f t="shared" si="1"/>
        <v>-998.5</v>
      </c>
      <c r="Q9" s="412" t="e">
        <f t="shared" si="7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8"/>
        <v>1.4999999999999458E-3</v>
      </c>
      <c r="V9" s="415">
        <f t="shared" si="9"/>
        <v>1.7799999999999999E-3</v>
      </c>
      <c r="W9" s="414">
        <f t="shared" si="10"/>
        <v>1.0017831740498087</v>
      </c>
      <c r="X9" s="416">
        <f t="shared" si="11"/>
        <v>426.08698000000015</v>
      </c>
      <c r="Y9" s="417" t="e">
        <f t="shared" si="4"/>
        <v>#DIV/0!</v>
      </c>
      <c r="Z9" s="418" t="e">
        <f t="shared" si="5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39"/>
      <c r="L10" s="409"/>
      <c r="M10" s="407">
        <f t="shared" si="0"/>
        <v>-1000</v>
      </c>
      <c r="N10" s="407">
        <f t="shared" si="6"/>
        <v>-998.5</v>
      </c>
      <c r="O10" s="564"/>
      <c r="P10" s="411">
        <f t="shared" si="1"/>
        <v>-998.5</v>
      </c>
      <c r="Q10" s="412" t="e">
        <f t="shared" si="7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8"/>
        <v>1.4999999999999458E-3</v>
      </c>
      <c r="V10" s="415">
        <f t="shared" si="9"/>
        <v>1.7799999999999999E-3</v>
      </c>
      <c r="W10" s="414">
        <f t="shared" si="10"/>
        <v>1.0017831740498087</v>
      </c>
      <c r="X10" s="416">
        <f t="shared" si="11"/>
        <v>426.08698000000015</v>
      </c>
      <c r="Y10" s="417" t="e">
        <f t="shared" si="4"/>
        <v>#DIV/0!</v>
      </c>
      <c r="Z10" s="418" t="e">
        <f t="shared" si="5"/>
        <v>#DIV/0!</v>
      </c>
      <c r="AA10" s="427"/>
    </row>
    <row r="11" spans="1:31" ht="18.75" customHeight="1" x14ac:dyDescent="0.2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39"/>
      <c r="L11" s="409"/>
      <c r="M11" s="407">
        <f>(L11-1)*1000</f>
        <v>-1000</v>
      </c>
      <c r="N11" s="407">
        <f t="shared" si="6"/>
        <v>-998.5</v>
      </c>
      <c r="O11" s="564"/>
      <c r="P11" s="411">
        <f>N11+O11</f>
        <v>-998.5</v>
      </c>
      <c r="Q11" s="412" t="e">
        <f t="shared" si="7"/>
        <v>#DIV/0!</v>
      </c>
      <c r="R11" s="407" t="e">
        <f>$F$36*P11</f>
        <v>#DIV/0!</v>
      </c>
      <c r="S11" s="413" t="e">
        <f>$G$24/100*R11</f>
        <v>#DIV/0!</v>
      </c>
      <c r="U11" s="414">
        <f t="shared" si="8"/>
        <v>1.4999999999999458E-3</v>
      </c>
      <c r="V11" s="415">
        <f t="shared" si="9"/>
        <v>1.7799999999999999E-3</v>
      </c>
      <c r="W11" s="414">
        <f t="shared" si="10"/>
        <v>1.0017831740498087</v>
      </c>
      <c r="X11" s="416">
        <f t="shared" si="11"/>
        <v>426.08698000000015</v>
      </c>
      <c r="Y11" s="417" t="e">
        <f t="shared" si="4"/>
        <v>#DIV/0!</v>
      </c>
      <c r="Z11" s="418" t="e">
        <f t="shared" si="5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61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561"/>
      <c r="L12" s="466"/>
      <c r="M12" s="467">
        <f>(L12-1)*1000</f>
        <v>-1000</v>
      </c>
      <c r="N12" s="467">
        <f t="shared" si="6"/>
        <v>-998.5</v>
      </c>
      <c r="O12" s="565"/>
      <c r="P12" s="468">
        <f>N12+O12</f>
        <v>-998.5</v>
      </c>
      <c r="Q12" s="469" t="e">
        <f t="shared" si="7"/>
        <v>#DIV/0!</v>
      </c>
      <c r="R12" s="467" t="e">
        <f>$F$36*P12</f>
        <v>#DIV/0!</v>
      </c>
      <c r="S12" s="470" t="e">
        <f>$G$24/100*R12</f>
        <v>#DIV/0!</v>
      </c>
      <c r="U12" s="414">
        <f t="shared" si="8"/>
        <v>1.4999999999999458E-3</v>
      </c>
      <c r="V12" s="415">
        <f t="shared" si="9"/>
        <v>1.7799999999999999E-3</v>
      </c>
      <c r="W12" s="414">
        <f t="shared" si="10"/>
        <v>1.0017831740498087</v>
      </c>
      <c r="X12" s="416">
        <f t="shared" si="11"/>
        <v>426.08698000000015</v>
      </c>
      <c r="Y12" s="417" t="e">
        <f t="shared" si="4"/>
        <v>#DIV/0!</v>
      </c>
      <c r="Z12" s="418" t="e">
        <f t="shared" si="5"/>
        <v>#DIV/0!</v>
      </c>
      <c r="AA12" s="427"/>
    </row>
    <row r="13" spans="1:31" ht="19.5" customHeight="1" x14ac:dyDescent="0.2">
      <c r="A13" s="949"/>
      <c r="B13" s="471">
        <v>30</v>
      </c>
      <c r="C13" s="472" t="s">
        <v>21</v>
      </c>
      <c r="D13" s="473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73">
        <v>6.3</v>
      </c>
      <c r="E14" s="474">
        <f>D14</f>
        <v>6.3</v>
      </c>
      <c r="F14" s="457">
        <f t="shared" si="13"/>
        <v>2.3187338976812648</v>
      </c>
      <c r="G14" s="475">
        <f t="shared" si="14"/>
        <v>97.68126610231873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50"/>
      <c r="B15" s="476">
        <v>10</v>
      </c>
      <c r="C15" s="477" t="s">
        <v>21</v>
      </c>
      <c r="D15" s="478">
        <v>31.4</v>
      </c>
      <c r="E15" s="462">
        <f>D15</f>
        <v>31.4</v>
      </c>
      <c r="F15" s="479">
        <f t="shared" si="13"/>
        <v>11.556864188443129</v>
      </c>
      <c r="G15" s="480">
        <f t="shared" si="14"/>
        <v>86.124401913875602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48" t="s">
        <v>13</v>
      </c>
      <c r="B16" s="482">
        <v>6.3</v>
      </c>
      <c r="C16" s="483">
        <v>630.4</v>
      </c>
      <c r="D16" s="484">
        <v>633.70000000000005</v>
      </c>
      <c r="E16" s="485">
        <f>D16-C16</f>
        <v>3.3000000000000682</v>
      </c>
      <c r="F16" s="457">
        <f t="shared" si="13"/>
        <v>1.2145748987854497</v>
      </c>
      <c r="G16" s="463">
        <f t="shared" si="14"/>
        <v>84.909827015090158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562">
        <v>537.6</v>
      </c>
      <c r="E17" s="487">
        <f t="shared" ref="E17:E24" si="15">D17-C17</f>
        <v>18.300000000000068</v>
      </c>
      <c r="F17" s="457">
        <f t="shared" si="13"/>
        <v>6.735369893264652</v>
      </c>
      <c r="G17" s="475">
        <f t="shared" si="14"/>
        <v>78.174457121825512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49"/>
      <c r="B18" s="486">
        <v>2</v>
      </c>
      <c r="C18" s="472">
        <v>506.2</v>
      </c>
      <c r="D18" s="562">
        <v>529.6</v>
      </c>
      <c r="E18" s="488">
        <f t="shared" si="15"/>
        <v>23.400000000000034</v>
      </c>
      <c r="F18" s="457">
        <f t="shared" si="13"/>
        <v>8.6124401913875666</v>
      </c>
      <c r="G18" s="475">
        <f t="shared" si="14"/>
        <v>69.562016930437949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U18" s="116"/>
      <c r="V18" s="116"/>
      <c r="W18" s="116"/>
      <c r="X18" s="116"/>
      <c r="Y18" s="116"/>
      <c r="Z18" s="116"/>
    </row>
    <row r="19" spans="1:26" ht="21.95" customHeight="1" x14ac:dyDescent="0.2">
      <c r="A19" s="949"/>
      <c r="B19" s="486">
        <v>1</v>
      </c>
      <c r="C19" s="472">
        <v>383.8</v>
      </c>
      <c r="D19" s="562">
        <v>411.9</v>
      </c>
      <c r="E19" s="487">
        <f t="shared" si="15"/>
        <v>28.099999999999966</v>
      </c>
      <c r="F19" s="457">
        <f t="shared" si="13"/>
        <v>10.342289289657693</v>
      </c>
      <c r="G19" s="475">
        <f t="shared" si="14"/>
        <v>59.219727640780256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49"/>
      <c r="B20" s="471">
        <v>0.63</v>
      </c>
      <c r="C20" s="472">
        <v>376.2</v>
      </c>
      <c r="D20" s="562">
        <v>472.4</v>
      </c>
      <c r="E20" s="488">
        <f t="shared" si="15"/>
        <v>96.199999999999989</v>
      </c>
      <c r="F20" s="457">
        <f t="shared" si="13"/>
        <v>35.406698564593277</v>
      </c>
      <c r="G20" s="475">
        <f t="shared" si="14"/>
        <v>23.813029076186979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U20" s="116"/>
      <c r="V20" s="264" t="s">
        <v>107</v>
      </c>
      <c r="W20" s="266">
        <v>1.0680000000000001</v>
      </c>
      <c r="X20" s="116" t="s">
        <v>343</v>
      </c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562">
        <v>372.6</v>
      </c>
      <c r="E21" s="487">
        <f t="shared" si="15"/>
        <v>41.800000000000011</v>
      </c>
      <c r="F21" s="457">
        <f t="shared" si="13"/>
        <v>15.38461538461538</v>
      </c>
      <c r="G21" s="475">
        <f t="shared" si="14"/>
        <v>8.428413691571599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U21" s="116"/>
      <c r="V21" s="264" t="s">
        <v>108</v>
      </c>
      <c r="W21" s="266">
        <v>0.4224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562">
        <v>336</v>
      </c>
      <c r="E22" s="488">
        <f t="shared" si="15"/>
        <v>9.8999999999999773</v>
      </c>
      <c r="F22" s="457">
        <f t="shared" si="13"/>
        <v>3.6437246963562644</v>
      </c>
      <c r="G22" s="475">
        <f t="shared" si="14"/>
        <v>4.7846889952153351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U22" s="284" t="s">
        <v>119</v>
      </c>
      <c r="V22" s="285" t="s">
        <v>106</v>
      </c>
      <c r="W22" s="290">
        <f>W20/W21</f>
        <v>2.5284090909090913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562">
        <v>307.8</v>
      </c>
      <c r="E23" s="487">
        <f t="shared" si="15"/>
        <v>3.4000000000000341</v>
      </c>
      <c r="F23" s="457">
        <f t="shared" si="13"/>
        <v>1.2513801987486317</v>
      </c>
      <c r="G23" s="490">
        <f t="shared" si="14"/>
        <v>3.5333087964667031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562">
        <v>314.7</v>
      </c>
      <c r="E24" s="488">
        <f t="shared" si="15"/>
        <v>1</v>
      </c>
      <c r="F24" s="492">
        <f t="shared" si="13"/>
        <v>0.36805299963194682</v>
      </c>
      <c r="G24" s="493">
        <f t="shared" si="14"/>
        <v>3.1652557968347566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U24" s="116"/>
      <c r="V24" s="269" t="s">
        <v>111</v>
      </c>
      <c r="W24" s="270">
        <f>0.0116*(W21*W21)*(0.7+0.03*W19)</f>
        <v>2.1317831884799993E-3</v>
      </c>
      <c r="X24" s="116"/>
      <c r="Y24" s="116"/>
      <c r="Z24" s="116"/>
    </row>
    <row r="25" spans="1:26" ht="21.95" customHeight="1" thickBot="1" x14ac:dyDescent="0.3">
      <c r="A25" s="818"/>
      <c r="B25" s="476" t="s">
        <v>14</v>
      </c>
      <c r="C25" s="495">
        <v>367.5</v>
      </c>
      <c r="D25" s="563">
        <v>368.1</v>
      </c>
      <c r="E25" s="496">
        <f>D25-C25+(G6-C26)</f>
        <v>8.6000000000000227</v>
      </c>
      <c r="F25" s="457">
        <f t="shared" si="13"/>
        <v>3.1652557968347503</v>
      </c>
      <c r="G25" s="463">
        <f>G24-F25</f>
        <v>6.2172489379008766E-15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U25" s="116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263.39999999999998</v>
      </c>
      <c r="D26" s="498" t="s">
        <v>19</v>
      </c>
      <c r="E26" s="499">
        <f>SUM(E12:E25)</f>
        <v>271.70000000000016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U26" s="116"/>
      <c r="V26" s="271" t="s">
        <v>110</v>
      </c>
      <c r="W26" s="272">
        <v>1.3899999999999999E-2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-0.3000000000001819</v>
      </c>
      <c r="F27" s="505">
        <f>IF((E27/G6*100)&gt;1,"Fehler zu groß",(E27/G6*100))</f>
        <v>-0.11053795136336843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U27" s="116"/>
      <c r="V27" s="274" t="s">
        <v>112</v>
      </c>
      <c r="W27" s="275">
        <f>W26*(W21*W21)*(0.7+0.003*W19)</f>
        <v>1.8178857861119997E-3</v>
      </c>
      <c r="X27" s="835" t="str">
        <f>IF(W22&lt;5.000001,"OK","U größer 5")</f>
        <v>OK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U29" s="116"/>
      <c r="V29" s="277" t="s">
        <v>120</v>
      </c>
      <c r="W29" s="287"/>
      <c r="X29" s="286" t="s">
        <v>113</v>
      </c>
      <c r="Y29" s="288">
        <v>1.6999999999999999E-3</v>
      </c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17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17" t="s">
        <v>45</v>
      </c>
      <c r="B33" s="817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17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U34" s="116"/>
      <c r="V34" s="116"/>
      <c r="W34" s="116"/>
      <c r="X34" s="116"/>
      <c r="Y34" s="116"/>
      <c r="Z34" s="116"/>
    </row>
    <row r="35" spans="1:26" ht="21.95" customHeight="1" x14ac:dyDescent="0.3">
      <c r="A35" s="817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U36" s="116"/>
      <c r="V36" s="267">
        <f>(W24+Y29+W27)/3</f>
        <v>1.8832229915306663E-3</v>
      </c>
      <c r="W36" s="839">
        <v>1.7799999999999999E-3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1"/>
  <dimension ref="A1:Z36"/>
  <sheetViews>
    <sheetView topLeftCell="Q5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 t="s">
        <v>140</v>
      </c>
      <c r="D3" s="118" t="s">
        <v>25</v>
      </c>
      <c r="E3" s="121">
        <v>39841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/>
      <c r="D4" s="130" t="s">
        <v>24</v>
      </c>
      <c r="E4" s="128" t="s">
        <v>141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/>
      <c r="D5" s="299"/>
      <c r="E5" s="139" t="s">
        <v>4</v>
      </c>
      <c r="F5" s="300"/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/>
      <c r="D6" s="302"/>
      <c r="E6" s="127" t="s">
        <v>41</v>
      </c>
      <c r="F6" s="146"/>
      <c r="G6" s="147">
        <v>500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31.2</v>
      </c>
      <c r="E13" s="181">
        <f>D13</f>
        <v>31.2</v>
      </c>
      <c r="F13" s="170">
        <f t="shared" si="5"/>
        <v>6.2625451625853064</v>
      </c>
      <c r="G13" s="182">
        <f t="shared" si="6"/>
        <v>93.737454837414688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74.5</v>
      </c>
      <c r="E14" s="181">
        <f>D14</f>
        <v>74.5</v>
      </c>
      <c r="F14" s="170">
        <f t="shared" si="5"/>
        <v>14.953833801686066</v>
      </c>
      <c r="G14" s="182">
        <f t="shared" si="6"/>
        <v>78.783621035728629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59.3</v>
      </c>
      <c r="E15" s="175">
        <f>D15</f>
        <v>59.3</v>
      </c>
      <c r="F15" s="194">
        <f t="shared" si="5"/>
        <v>11.902850260939381</v>
      </c>
      <c r="G15" s="195">
        <f t="shared" si="6"/>
        <v>66.880770774789255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644.4</v>
      </c>
      <c r="E16" s="202">
        <f>D16-C16</f>
        <v>14</v>
      </c>
      <c r="F16" s="170">
        <f t="shared" si="5"/>
        <v>2.8101164191087915</v>
      </c>
      <c r="G16" s="176">
        <f t="shared" si="6"/>
        <v>64.07065435568046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558.9</v>
      </c>
      <c r="E17" s="208">
        <f t="shared" ref="E17:E24" si="7">D17-C17</f>
        <v>39.600000000000023</v>
      </c>
      <c r="F17" s="170">
        <f t="shared" si="5"/>
        <v>7.9486150140505867</v>
      </c>
      <c r="G17" s="182">
        <f t="shared" si="6"/>
        <v>56.122039341629872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553.79999999999995</v>
      </c>
      <c r="E18" s="209">
        <f t="shared" si="7"/>
        <v>47.599999999999966</v>
      </c>
      <c r="F18" s="170">
        <f t="shared" si="5"/>
        <v>9.5543958249698839</v>
      </c>
      <c r="G18" s="182">
        <f t="shared" si="6"/>
        <v>46.567643516659984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416.3</v>
      </c>
      <c r="E19" s="208">
        <f t="shared" si="7"/>
        <v>32.5</v>
      </c>
      <c r="F19" s="170">
        <f t="shared" si="5"/>
        <v>6.523484544359694</v>
      </c>
      <c r="G19" s="182">
        <f t="shared" si="6"/>
        <v>40.044158972300288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475.8</v>
      </c>
      <c r="E20" s="209">
        <f t="shared" si="7"/>
        <v>99.600000000000023</v>
      </c>
      <c r="F20" s="170">
        <f t="shared" si="5"/>
        <v>19.991971095945406</v>
      </c>
      <c r="G20" s="182">
        <f t="shared" si="6"/>
        <v>20.052187876354882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5.1353999999999997</v>
      </c>
      <c r="X20" s="116" t="s">
        <v>343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391.8</v>
      </c>
      <c r="E21" s="208">
        <f t="shared" si="7"/>
        <v>61</v>
      </c>
      <c r="F21" s="170">
        <f t="shared" si="5"/>
        <v>12.244078683259733</v>
      </c>
      <c r="G21" s="182">
        <f t="shared" si="6"/>
        <v>7.8081091930951487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0.4415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347.2</v>
      </c>
      <c r="E22" s="209">
        <f t="shared" si="7"/>
        <v>21.099999999999966</v>
      </c>
      <c r="F22" s="170">
        <f t="shared" si="5"/>
        <v>4.2352468887996713</v>
      </c>
      <c r="G22" s="182">
        <f t="shared" si="6"/>
        <v>3.5728623042954775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11.631710079275198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311.10000000000002</v>
      </c>
      <c r="E23" s="208">
        <f t="shared" si="7"/>
        <v>6.7000000000000455</v>
      </c>
      <c r="F23" s="170">
        <f t="shared" si="5"/>
        <v>1.3448414291449309</v>
      </c>
      <c r="G23" s="211">
        <f t="shared" si="6"/>
        <v>2.2280208751505466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314.7</v>
      </c>
      <c r="E24" s="209">
        <f t="shared" si="7"/>
        <v>1</v>
      </c>
      <c r="F24" s="213">
        <f t="shared" si="5"/>
        <v>0.20072260136491368</v>
      </c>
      <c r="G24" s="214">
        <f t="shared" si="6"/>
        <v>2.0272982737856329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2.3289310429999992E-3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367.8</v>
      </c>
      <c r="E25" s="218">
        <f>D25-C25+(G6-C26)</f>
        <v>10.100000000000023</v>
      </c>
      <c r="F25" s="170">
        <f t="shared" si="5"/>
        <v>2.0272982737856324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490.2</v>
      </c>
      <c r="D26" s="260" t="s">
        <v>19</v>
      </c>
      <c r="E26" s="221">
        <f>SUM(E12:E25)</f>
        <v>498.20000000000005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1.7999999999999545</v>
      </c>
      <c r="F27" s="310">
        <f>IF((E27/G6*100)&gt;1,"Fehler zu groß",(E27/G6*100))</f>
        <v>0.35999999999999094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1.6573849072999998E-4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1.4E-3</v>
      </c>
      <c r="X29" s="286" t="s">
        <v>113</v>
      </c>
      <c r="Y29" s="288">
        <v>1.2999999999999999E-3</v>
      </c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1.8144655214999996E-3</v>
      </c>
      <c r="W36" s="839">
        <v>1.421E-3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2"/>
  <dimension ref="A1:Z36"/>
  <sheetViews>
    <sheetView topLeftCell="Q8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113</v>
      </c>
      <c r="D3" s="118" t="s">
        <v>25</v>
      </c>
      <c r="E3" s="121">
        <v>39847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135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40</v>
      </c>
      <c r="D6" s="302"/>
      <c r="E6" s="127" t="s">
        <v>41</v>
      </c>
      <c r="F6" s="146"/>
      <c r="G6" s="147">
        <v>500.2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344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345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103.9</v>
      </c>
      <c r="E12" s="175">
        <f>D12</f>
        <v>103.9</v>
      </c>
      <c r="F12" s="170">
        <f t="shared" si="5"/>
        <v>20.788315326130448</v>
      </c>
      <c r="G12" s="176">
        <f t="shared" ref="G12:G24" si="6">G11-F12</f>
        <v>79.211684673869556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23.1</v>
      </c>
      <c r="E13" s="181">
        <f>D13</f>
        <v>23.1</v>
      </c>
      <c r="F13" s="170">
        <f t="shared" si="5"/>
        <v>4.6218487394957979</v>
      </c>
      <c r="G13" s="182">
        <f t="shared" si="6"/>
        <v>74.589835934373752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44.5</v>
      </c>
      <c r="E14" s="181">
        <f>D14</f>
        <v>44.5</v>
      </c>
      <c r="F14" s="170">
        <f t="shared" si="5"/>
        <v>8.9035614245698262</v>
      </c>
      <c r="G14" s="182">
        <f t="shared" si="6"/>
        <v>65.686274509803923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79.3</v>
      </c>
      <c r="E15" s="218">
        <f>D15</f>
        <v>79.3</v>
      </c>
      <c r="F15" s="194">
        <f t="shared" si="5"/>
        <v>15.866346538615444</v>
      </c>
      <c r="G15" s="195">
        <f t="shared" si="6"/>
        <v>49.819927971188477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646</v>
      </c>
      <c r="E16" s="346">
        <f t="shared" ref="E16:E24" si="7">D16-C16</f>
        <v>15.600000000000023</v>
      </c>
      <c r="F16" s="170">
        <f t="shared" si="5"/>
        <v>3.1212484993997638</v>
      </c>
      <c r="G16" s="176">
        <f t="shared" si="6"/>
        <v>46.698679471788715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558.79999999999995</v>
      </c>
      <c r="E17" s="208">
        <f t="shared" si="7"/>
        <v>39.5</v>
      </c>
      <c r="F17" s="170">
        <f t="shared" si="5"/>
        <v>7.9031612645058011</v>
      </c>
      <c r="G17" s="182">
        <f t="shared" si="6"/>
        <v>38.79551820728291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553</v>
      </c>
      <c r="E18" s="209">
        <f t="shared" si="7"/>
        <v>46.800000000000011</v>
      </c>
      <c r="F18" s="170">
        <f t="shared" si="5"/>
        <v>9.3637454981992807</v>
      </c>
      <c r="G18" s="182">
        <f t="shared" si="6"/>
        <v>29.431772709083631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418.7</v>
      </c>
      <c r="E19" s="208">
        <f t="shared" si="7"/>
        <v>34.899999999999977</v>
      </c>
      <c r="F19" s="170">
        <f t="shared" si="5"/>
        <v>6.982793117246894</v>
      </c>
      <c r="G19" s="182">
        <f t="shared" si="6"/>
        <v>22.448979591836739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418.5</v>
      </c>
      <c r="E20" s="209">
        <f t="shared" si="7"/>
        <v>42.300000000000011</v>
      </c>
      <c r="F20" s="170">
        <f t="shared" si="5"/>
        <v>8.463385354141657</v>
      </c>
      <c r="G20" s="182">
        <f t="shared" si="6"/>
        <v>13.985594237695082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14.5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361.4</v>
      </c>
      <c r="E21" s="208">
        <f t="shared" si="7"/>
        <v>30.599999999999966</v>
      </c>
      <c r="F21" s="170">
        <f t="shared" si="5"/>
        <v>6.1224489795918293</v>
      </c>
      <c r="G21" s="182">
        <f t="shared" si="6"/>
        <v>7.8631452581032528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0.46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343.1</v>
      </c>
      <c r="E22" s="209">
        <f t="shared" si="7"/>
        <v>17</v>
      </c>
      <c r="F22" s="170">
        <f t="shared" si="5"/>
        <v>3.4013605442176869</v>
      </c>
      <c r="G22" s="182">
        <f t="shared" si="6"/>
        <v>4.4617847138855655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31.521739130434781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311.2</v>
      </c>
      <c r="E23" s="208">
        <f t="shared" si="7"/>
        <v>6.8000000000000114</v>
      </c>
      <c r="F23" s="170">
        <f t="shared" si="5"/>
        <v>1.3605442176870768</v>
      </c>
      <c r="G23" s="211">
        <f t="shared" si="6"/>
        <v>3.1012404961984887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315.8</v>
      </c>
      <c r="E24" s="209">
        <f t="shared" si="7"/>
        <v>2.1000000000000227</v>
      </c>
      <c r="F24" s="213">
        <f t="shared" si="5"/>
        <v>0.42016806722689526</v>
      </c>
      <c r="G24" s="214">
        <f t="shared" si="6"/>
        <v>2.6810724289715937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2.5281967999999998E-3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369.6</v>
      </c>
      <c r="E25" s="218">
        <f>D25-C25+(G6-C26)</f>
        <v>13.400000000000034</v>
      </c>
      <c r="F25" s="170">
        <f t="shared" si="5"/>
        <v>2.681072428971595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488.9</v>
      </c>
      <c r="D26" s="260" t="s">
        <v>19</v>
      </c>
      <c r="E26" s="221">
        <f>SUM(E12:E25)</f>
        <v>499.80000000000007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0.39999999999992042</v>
      </c>
      <c r="F27" s="310">
        <f>IF((E27/G6*100)&gt;1,"Fehler zu groß",(E27/G6*100))</f>
        <v>7.9968012794866136E-2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1.7991924799999999E-4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1.4E-3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1.2640983999999999E-3</v>
      </c>
      <c r="W36" s="839">
        <v>1.6819999999999999E-3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3"/>
  <dimension ref="A1:AE36"/>
  <sheetViews>
    <sheetView topLeftCell="R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114</v>
      </c>
      <c r="D3" s="580" t="s">
        <v>25</v>
      </c>
      <c r="E3" s="582">
        <v>39871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6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480.5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31.8</v>
      </c>
      <c r="E13" s="668">
        <f>D13</f>
        <v>31.8</v>
      </c>
      <c r="F13" s="651">
        <f t="shared" si="13"/>
        <v>6.618106139438086</v>
      </c>
      <c r="G13" s="669">
        <f t="shared" si="14"/>
        <v>93.381893860561917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22.5</v>
      </c>
      <c r="E14" s="668">
        <f>D14</f>
        <v>22.5</v>
      </c>
      <c r="F14" s="651">
        <f t="shared" si="13"/>
        <v>4.6826222684703431</v>
      </c>
      <c r="G14" s="669">
        <f t="shared" si="14"/>
        <v>88.699271592091577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104.3</v>
      </c>
      <c r="E15" s="656">
        <f>D15</f>
        <v>104.3</v>
      </c>
      <c r="F15" s="673">
        <f t="shared" si="13"/>
        <v>21.70655567117586</v>
      </c>
      <c r="G15" s="674">
        <f t="shared" si="14"/>
        <v>66.992715920915714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641.9</v>
      </c>
      <c r="E16" s="678">
        <f>D16-C16</f>
        <v>11.5</v>
      </c>
      <c r="F16" s="651">
        <f t="shared" si="13"/>
        <v>2.3933402705515086</v>
      </c>
      <c r="G16" s="657">
        <f t="shared" si="14"/>
        <v>64.599375650364209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566.6</v>
      </c>
      <c r="E17" s="681">
        <f t="shared" ref="E17:E24" si="15">D17-C17</f>
        <v>47.300000000000068</v>
      </c>
      <c r="F17" s="651">
        <f t="shared" si="13"/>
        <v>9.8439125910510032</v>
      </c>
      <c r="G17" s="669">
        <f t="shared" si="14"/>
        <v>54.755463059313207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551.6</v>
      </c>
      <c r="E18" s="682">
        <f t="shared" si="15"/>
        <v>45.400000000000034</v>
      </c>
      <c r="F18" s="651">
        <f t="shared" si="13"/>
        <v>9.4484911550468329</v>
      </c>
      <c r="G18" s="669">
        <f t="shared" si="14"/>
        <v>45.306971904266376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417.9</v>
      </c>
      <c r="E19" s="681">
        <f t="shared" si="15"/>
        <v>34.099999999999966</v>
      </c>
      <c r="F19" s="651">
        <f t="shared" si="13"/>
        <v>7.0967741935483799</v>
      </c>
      <c r="G19" s="669">
        <f t="shared" si="14"/>
        <v>38.210197710717999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421.4</v>
      </c>
      <c r="E20" s="682">
        <f t="shared" si="15"/>
        <v>45.199999999999989</v>
      </c>
      <c r="F20" s="651">
        <f t="shared" si="13"/>
        <v>9.4068678459937534</v>
      </c>
      <c r="G20" s="669">
        <f t="shared" si="14"/>
        <v>28.803329864724247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11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365.3</v>
      </c>
      <c r="E21" s="681">
        <f t="shared" si="15"/>
        <v>34.5</v>
      </c>
      <c r="F21" s="651">
        <f t="shared" si="13"/>
        <v>7.1800208116545265</v>
      </c>
      <c r="G21" s="669">
        <f t="shared" si="14"/>
        <v>21.623309053069722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6.3E-2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367.4</v>
      </c>
      <c r="E22" s="682">
        <f t="shared" si="15"/>
        <v>41.299999999999955</v>
      </c>
      <c r="F22" s="651">
        <f t="shared" si="13"/>
        <v>8.5952133194588871</v>
      </c>
      <c r="G22" s="669">
        <f t="shared" si="14"/>
        <v>13.028095733610835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174.60317460317461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313</v>
      </c>
      <c r="E23" s="681">
        <f t="shared" si="15"/>
        <v>8.6000000000000227</v>
      </c>
      <c r="F23" s="651">
        <f t="shared" si="13"/>
        <v>1.7898022892820027</v>
      </c>
      <c r="G23" s="684">
        <f t="shared" si="14"/>
        <v>11.238293444328832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319.7</v>
      </c>
      <c r="E24" s="682">
        <f t="shared" si="15"/>
        <v>6</v>
      </c>
      <c r="F24" s="686">
        <f t="shared" si="13"/>
        <v>1.2486992715920915</v>
      </c>
      <c r="G24" s="687">
        <f t="shared" si="14"/>
        <v>9.9895941727367408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4.7421611999999993E-5</v>
      </c>
      <c r="X24" s="116"/>
      <c r="Y24" s="116"/>
      <c r="Z24" s="116"/>
    </row>
    <row r="25" spans="1:26" ht="21.95" customHeight="1" thickBot="1" x14ac:dyDescent="0.3">
      <c r="A25" s="738"/>
      <c r="B25" s="670" t="s">
        <v>14</v>
      </c>
      <c r="C25" s="689">
        <v>367.5</v>
      </c>
      <c r="D25" s="690">
        <v>367.8</v>
      </c>
      <c r="E25" s="691">
        <f>D25-C25+(G6-C26)</f>
        <v>48</v>
      </c>
      <c r="F25" s="651">
        <f t="shared" si="13"/>
        <v>9.9895941727367319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432.8</v>
      </c>
      <c r="D26" s="693" t="s">
        <v>19</v>
      </c>
      <c r="E26" s="694">
        <f>SUM(E12:E25)</f>
        <v>480.5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</v>
      </c>
      <c r="F27" s="700">
        <f>IF((E27/G6*100)&gt;1,"Fehler zu groß",(E27/G6*100))</f>
        <v>0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3.3747613200000002E-6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2.3499999999999999E-5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37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37" t="s">
        <v>45</v>
      </c>
      <c r="B33" s="737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37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37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3.5460805999999994E-5</v>
      </c>
      <c r="W36" s="839">
        <v>1.8039999999999999E-4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4"/>
  <dimension ref="A1:AE36"/>
  <sheetViews>
    <sheetView topLeftCell="S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115</v>
      </c>
      <c r="D3" s="580" t="s">
        <v>25</v>
      </c>
      <c r="E3" s="582">
        <v>39814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7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40</v>
      </c>
      <c r="D6" s="628"/>
      <c r="E6" s="596" t="s">
        <v>41</v>
      </c>
      <c r="F6" s="629"/>
      <c r="G6" s="630">
        <v>997.4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65.3</v>
      </c>
      <c r="E12" s="656">
        <f>D12</f>
        <v>65.3</v>
      </c>
      <c r="F12" s="651">
        <f t="shared" si="13"/>
        <v>6.5562248995983907</v>
      </c>
      <c r="G12" s="657">
        <f t="shared" ref="G12:G24" si="14">G11-F12</f>
        <v>93.443775100401609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23.7</v>
      </c>
      <c r="E13" s="668">
        <f>D13</f>
        <v>23.7</v>
      </c>
      <c r="F13" s="651">
        <f t="shared" si="13"/>
        <v>2.379518072289156</v>
      </c>
      <c r="G13" s="669">
        <f t="shared" si="14"/>
        <v>91.064257028112451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87.6</v>
      </c>
      <c r="E14" s="668">
        <f>D14</f>
        <v>87.6</v>
      </c>
      <c r="F14" s="651">
        <f t="shared" si="13"/>
        <v>8.7951807228915637</v>
      </c>
      <c r="G14" s="669">
        <f t="shared" si="14"/>
        <v>82.269076305220892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148.6</v>
      </c>
      <c r="E15" s="656">
        <f>D15</f>
        <v>148.6</v>
      </c>
      <c r="F15" s="673">
        <f t="shared" si="13"/>
        <v>14.919678714859433</v>
      </c>
      <c r="G15" s="674">
        <f t="shared" si="14"/>
        <v>67.349397590361463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683.7</v>
      </c>
      <c r="E16" s="678">
        <f>D16-C16</f>
        <v>53.300000000000068</v>
      </c>
      <c r="F16" s="651">
        <f t="shared" si="13"/>
        <v>5.3514056224899651</v>
      </c>
      <c r="G16" s="657">
        <f t="shared" si="14"/>
        <v>61.997991967871499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652.20000000000005</v>
      </c>
      <c r="E17" s="681">
        <f t="shared" ref="E17:E24" si="15">D17-C17</f>
        <v>132.90000000000009</v>
      </c>
      <c r="F17" s="651">
        <f t="shared" si="13"/>
        <v>13.343373493975907</v>
      </c>
      <c r="G17" s="669">
        <f t="shared" si="14"/>
        <v>48.654618473895596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664.9</v>
      </c>
      <c r="E18" s="682">
        <f t="shared" si="15"/>
        <v>158.69999999999999</v>
      </c>
      <c r="F18" s="651">
        <f t="shared" si="13"/>
        <v>15.933734939759029</v>
      </c>
      <c r="G18" s="669">
        <f t="shared" si="14"/>
        <v>32.720883534136568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501.2</v>
      </c>
      <c r="E19" s="681">
        <f t="shared" si="15"/>
        <v>117.39999999999998</v>
      </c>
      <c r="F19" s="651">
        <f t="shared" si="13"/>
        <v>11.787148594377504</v>
      </c>
      <c r="G19" s="669">
        <f t="shared" si="14"/>
        <v>20.933734939759063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463.2</v>
      </c>
      <c r="E20" s="682">
        <f t="shared" si="15"/>
        <v>87</v>
      </c>
      <c r="F20" s="651">
        <f t="shared" si="13"/>
        <v>8.7349397590361413</v>
      </c>
      <c r="G20" s="669">
        <f t="shared" si="14"/>
        <v>12.198795180722922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5.9541000000000004</v>
      </c>
      <c r="X20" s="116" t="s">
        <v>343</v>
      </c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375.9</v>
      </c>
      <c r="E21" s="681">
        <f t="shared" si="15"/>
        <v>45.099999999999966</v>
      </c>
      <c r="F21" s="651">
        <f t="shared" si="13"/>
        <v>4.5281124497991918</v>
      </c>
      <c r="G21" s="669">
        <f t="shared" si="14"/>
        <v>7.6706827309237298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0.51239999999999997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363.8</v>
      </c>
      <c r="E22" s="682">
        <f t="shared" si="15"/>
        <v>37.699999999999989</v>
      </c>
      <c r="F22" s="651">
        <f t="shared" si="13"/>
        <v>3.7851405622489933</v>
      </c>
      <c r="G22" s="669">
        <f t="shared" si="14"/>
        <v>3.8855421686747365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11.620023419203749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320.8</v>
      </c>
      <c r="E23" s="681">
        <f t="shared" si="15"/>
        <v>16.400000000000034</v>
      </c>
      <c r="F23" s="651">
        <f t="shared" si="13"/>
        <v>1.6465863453815288</v>
      </c>
      <c r="G23" s="684">
        <f t="shared" si="14"/>
        <v>2.2389558232932076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318.39999999999998</v>
      </c>
      <c r="E24" s="682">
        <f t="shared" si="15"/>
        <v>4.6999999999999886</v>
      </c>
      <c r="F24" s="686">
        <f t="shared" si="13"/>
        <v>0.47188755020080192</v>
      </c>
      <c r="G24" s="687">
        <f t="shared" si="14"/>
        <v>1.7670682730924057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3.1369923244799992E-3</v>
      </c>
      <c r="X24" s="116"/>
      <c r="Y24" s="116"/>
      <c r="Z24" s="116"/>
    </row>
    <row r="25" spans="1:26" ht="21.95" customHeight="1" thickBot="1" x14ac:dyDescent="0.3">
      <c r="A25" s="806"/>
      <c r="B25" s="670" t="s">
        <v>14</v>
      </c>
      <c r="C25" s="689">
        <v>367.5</v>
      </c>
      <c r="D25" s="690">
        <v>385.1</v>
      </c>
      <c r="E25" s="691">
        <f>D25-C25+(G6-C26)</f>
        <v>17.600000000000023</v>
      </c>
      <c r="F25" s="651">
        <f t="shared" si="13"/>
        <v>1.767068273092371</v>
      </c>
      <c r="G25" s="657">
        <f>G24-F25</f>
        <v>3.4638958368304884E-14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997.4</v>
      </c>
      <c r="D26" s="693" t="s">
        <v>19</v>
      </c>
      <c r="E26" s="694">
        <f>SUM(E12:E25)</f>
        <v>996.00000000000034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1.3999999999996362</v>
      </c>
      <c r="F27" s="700">
        <f>IF((E27/G6*100)&gt;1,"Fehler zu groß",(E27/G6*100))</f>
        <v>0.14036494886701786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2.2324421105279998E-4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1.2999999999999999E-3</v>
      </c>
      <c r="X29" s="286" t="s">
        <v>113</v>
      </c>
      <c r="Y29" s="288">
        <v>2.8999999999999998E-3</v>
      </c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05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05" t="s">
        <v>45</v>
      </c>
      <c r="B33" s="80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0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805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333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(W24+Y29)/2</f>
        <v>3.0184961622399995E-3</v>
      </c>
      <c r="W36" s="839">
        <v>1.902E-3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5"/>
  <dimension ref="A1:AE36"/>
  <sheetViews>
    <sheetView topLeftCell="Q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116</v>
      </c>
      <c r="D3" s="580" t="s">
        <v>25</v>
      </c>
      <c r="E3" s="582">
        <v>39860.202013888891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732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135</v>
      </c>
      <c r="D5" s="617"/>
      <c r="E5" s="618" t="s">
        <v>4</v>
      </c>
      <c r="F5" s="619" t="s">
        <v>185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686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455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461">
        <v>98.3</v>
      </c>
      <c r="E12" s="656">
        <f>D12</f>
        <v>98.3</v>
      </c>
      <c r="F12" s="651">
        <f t="shared" si="13"/>
        <v>14.333624963546217</v>
      </c>
      <c r="G12" s="657">
        <f t="shared" ref="G12:G24" si="14">G11-F12</f>
        <v>85.666375036453786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473">
        <v>0</v>
      </c>
      <c r="E13" s="668">
        <f>D13</f>
        <v>0</v>
      </c>
      <c r="F13" s="651">
        <f t="shared" si="13"/>
        <v>0</v>
      </c>
      <c r="G13" s="669">
        <f t="shared" si="14"/>
        <v>85.666375036453786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473">
        <v>80.3</v>
      </c>
      <c r="E14" s="668">
        <f>D14</f>
        <v>80.3</v>
      </c>
      <c r="F14" s="651">
        <f t="shared" si="13"/>
        <v>11.70895304753572</v>
      </c>
      <c r="G14" s="669">
        <f t="shared" si="14"/>
        <v>73.957421988918071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478">
        <v>115</v>
      </c>
      <c r="E15" s="656">
        <f>D15</f>
        <v>115</v>
      </c>
      <c r="F15" s="673">
        <f t="shared" si="13"/>
        <v>16.768737241178179</v>
      </c>
      <c r="G15" s="674">
        <f t="shared" si="14"/>
        <v>57.188684747739892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484">
        <v>646.4</v>
      </c>
      <c r="E16" s="678">
        <f>D16-C16</f>
        <v>16</v>
      </c>
      <c r="F16" s="651">
        <f t="shared" si="13"/>
        <v>2.3330417031204429</v>
      </c>
      <c r="G16" s="657">
        <f t="shared" si="14"/>
        <v>54.855643044619448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562">
        <v>572.4</v>
      </c>
      <c r="E17" s="681">
        <f t="shared" ref="E17:E24" si="15">D17-C17</f>
        <v>53.100000000000023</v>
      </c>
      <c r="F17" s="651">
        <f t="shared" si="13"/>
        <v>7.7427821522309719</v>
      </c>
      <c r="G17" s="669">
        <f t="shared" si="14"/>
        <v>47.112860892388476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562">
        <v>565.70000000000005</v>
      </c>
      <c r="E18" s="682">
        <f t="shared" si="15"/>
        <v>59.500000000000057</v>
      </c>
      <c r="F18" s="651">
        <f t="shared" si="13"/>
        <v>8.675998833479154</v>
      </c>
      <c r="G18" s="669">
        <f t="shared" si="14"/>
        <v>38.43686205890932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562">
        <v>422.6</v>
      </c>
      <c r="E19" s="681">
        <f t="shared" si="15"/>
        <v>38.800000000000011</v>
      </c>
      <c r="F19" s="651">
        <f t="shared" si="13"/>
        <v>5.6576261300670749</v>
      </c>
      <c r="G19" s="669">
        <f t="shared" si="14"/>
        <v>32.779235928842247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562">
        <v>434.2</v>
      </c>
      <c r="E20" s="682">
        <f t="shared" si="15"/>
        <v>58</v>
      </c>
      <c r="F20" s="651">
        <f t="shared" si="13"/>
        <v>8.4572761738116053</v>
      </c>
      <c r="G20" s="669">
        <f t="shared" si="14"/>
        <v>24.32195975503064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11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562">
        <v>386.2</v>
      </c>
      <c r="E21" s="681">
        <f t="shared" si="15"/>
        <v>55.399999999999977</v>
      </c>
      <c r="F21" s="651">
        <f t="shared" si="13"/>
        <v>8.0781568970545301</v>
      </c>
      <c r="G21" s="669">
        <f t="shared" si="14"/>
        <v>16.24380285797611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0.14000000000000001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562">
        <v>365.5</v>
      </c>
      <c r="E22" s="682">
        <f t="shared" si="15"/>
        <v>39.399999999999977</v>
      </c>
      <c r="F22" s="651">
        <f t="shared" si="13"/>
        <v>5.7451151939340868</v>
      </c>
      <c r="G22" s="669">
        <f t="shared" si="14"/>
        <v>10.498687664042023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78.571428571428569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562">
        <v>313.7</v>
      </c>
      <c r="E23" s="681">
        <f t="shared" si="15"/>
        <v>9.3000000000000114</v>
      </c>
      <c r="F23" s="651">
        <f t="shared" si="13"/>
        <v>1.3560804899387591</v>
      </c>
      <c r="G23" s="684">
        <f t="shared" si="14"/>
        <v>9.1426071741032651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562">
        <v>314.89999999999998</v>
      </c>
      <c r="E24" s="682">
        <f t="shared" si="15"/>
        <v>1.1999999999999886</v>
      </c>
      <c r="F24" s="686">
        <f t="shared" si="13"/>
        <v>0.17497812773403154</v>
      </c>
      <c r="G24" s="687">
        <f t="shared" si="14"/>
        <v>8.9676290463692343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2.3418079999999999E-4</v>
      </c>
      <c r="X24" s="116"/>
      <c r="Y24" s="116"/>
      <c r="Z24" s="116"/>
    </row>
    <row r="25" spans="1:26" ht="21.95" customHeight="1" thickBot="1" x14ac:dyDescent="0.3">
      <c r="A25" s="730"/>
      <c r="B25" s="670" t="s">
        <v>14</v>
      </c>
      <c r="C25" s="689">
        <v>367.5</v>
      </c>
      <c r="D25" s="563">
        <v>367.8</v>
      </c>
      <c r="E25" s="691">
        <f>D25-C25+(G6-C26)</f>
        <v>61.500000000000057</v>
      </c>
      <c r="F25" s="651">
        <f t="shared" si="13"/>
        <v>8.9676290463692112</v>
      </c>
      <c r="G25" s="657">
        <f>G24-F25</f>
        <v>2.3092638912203256E-14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624.79999999999995</v>
      </c>
      <c r="D26" s="693" t="s">
        <v>19</v>
      </c>
      <c r="E26" s="694">
        <f>SUM(E12:E25)</f>
        <v>685.80000000000018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0.1999999999998181</v>
      </c>
      <c r="F27" s="700">
        <f>IF((E27/G6*100)&gt;1,"Fehler zu groß",(E27/G6*100))</f>
        <v>2.9154518950410803E-2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1.6665488000000002E-5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1.6000000000000001E-4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731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731" t="s">
        <v>45</v>
      </c>
      <c r="B33" s="73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73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731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1.970904E-4</v>
      </c>
      <c r="W36" s="839">
        <v>2.8469999999999998E-4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_1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6"/>
  <dimension ref="A1:Z36"/>
  <sheetViews>
    <sheetView topLeftCell="Q7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117</v>
      </c>
      <c r="D3" s="118" t="s">
        <v>25</v>
      </c>
      <c r="E3" s="121">
        <v>39850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135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489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41.5</v>
      </c>
      <c r="E13" s="181">
        <f>D13</f>
        <v>41.5</v>
      </c>
      <c r="F13" s="170">
        <f t="shared" si="5"/>
        <v>8.5023560745748803</v>
      </c>
      <c r="G13" s="182">
        <f t="shared" si="6"/>
        <v>91.497643925425123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63.8</v>
      </c>
      <c r="E14" s="181">
        <f>D14</f>
        <v>63.8</v>
      </c>
      <c r="F14" s="170">
        <f t="shared" si="5"/>
        <v>13.071091989346442</v>
      </c>
      <c r="G14" s="182">
        <f t="shared" si="6"/>
        <v>78.426551936078681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57.7</v>
      </c>
      <c r="E15" s="175">
        <f>D15</f>
        <v>57.7</v>
      </c>
      <c r="F15" s="194">
        <f t="shared" si="5"/>
        <v>11.82134808440893</v>
      </c>
      <c r="G15" s="195">
        <f t="shared" si="6"/>
        <v>66.605203851669756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635.6</v>
      </c>
      <c r="E16" s="202">
        <f>D16-C16</f>
        <v>5.2000000000000455</v>
      </c>
      <c r="F16" s="170">
        <f t="shared" si="5"/>
        <v>1.0653554599467412</v>
      </c>
      <c r="G16" s="176">
        <f t="shared" si="6"/>
        <v>65.539848391723012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545.6</v>
      </c>
      <c r="E17" s="208">
        <f t="shared" ref="E17:E24" si="7">D17-C17</f>
        <v>26.300000000000068</v>
      </c>
      <c r="F17" s="170">
        <f t="shared" si="5"/>
        <v>5.3882401147306007</v>
      </c>
      <c r="G17" s="182">
        <f t="shared" si="6"/>
        <v>60.151608276992413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532.6</v>
      </c>
      <c r="E18" s="209">
        <f t="shared" si="7"/>
        <v>26.400000000000034</v>
      </c>
      <c r="F18" s="170">
        <f t="shared" si="5"/>
        <v>5.4087277197295691</v>
      </c>
      <c r="G18" s="182">
        <f t="shared" si="6"/>
        <v>54.742880557262843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410.2</v>
      </c>
      <c r="E19" s="208">
        <f t="shared" si="7"/>
        <v>26.399999999999977</v>
      </c>
      <c r="F19" s="170">
        <f t="shared" si="5"/>
        <v>5.4087277197295576</v>
      </c>
      <c r="G19" s="182">
        <f t="shared" si="6"/>
        <v>49.334152837533289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404.6</v>
      </c>
      <c r="E20" s="209">
        <f t="shared" si="7"/>
        <v>28.400000000000034</v>
      </c>
      <c r="F20" s="170">
        <f t="shared" si="5"/>
        <v>5.818479819709081</v>
      </c>
      <c r="G20" s="182">
        <f t="shared" si="6"/>
        <v>43.515673017824206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3.98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372</v>
      </c>
      <c r="E21" s="208">
        <f t="shared" si="7"/>
        <v>41.199999999999989</v>
      </c>
      <c r="F21" s="170">
        <f t="shared" si="5"/>
        <v>8.4408932595779493</v>
      </c>
      <c r="G21" s="182">
        <f t="shared" si="6"/>
        <v>35.074779758246258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7.0000000000000007E-2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415.5</v>
      </c>
      <c r="E22" s="209">
        <f t="shared" si="7"/>
        <v>89.399999999999977</v>
      </c>
      <c r="F22" s="170">
        <f t="shared" si="5"/>
        <v>18.315918869084193</v>
      </c>
      <c r="G22" s="182">
        <f t="shared" si="6"/>
        <v>16.758860889162065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56.857142857142854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329.2</v>
      </c>
      <c r="E23" s="208">
        <f t="shared" si="7"/>
        <v>24.800000000000011</v>
      </c>
      <c r="F23" s="170">
        <f t="shared" si="5"/>
        <v>5.0809260397459548</v>
      </c>
      <c r="G23" s="211">
        <f t="shared" si="6"/>
        <v>11.677934849416111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323.7</v>
      </c>
      <c r="E24" s="209">
        <f t="shared" si="7"/>
        <v>10</v>
      </c>
      <c r="F24" s="213">
        <f t="shared" si="5"/>
        <v>2.0487604998975613</v>
      </c>
      <c r="G24" s="214">
        <f t="shared" si="6"/>
        <v>9.62917434951855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5.8545199999999996E-5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367.9</v>
      </c>
      <c r="E25" s="218">
        <f>D25-C25+(G6-C26)</f>
        <v>47</v>
      </c>
      <c r="F25" s="170">
        <f t="shared" si="5"/>
        <v>9.6291743495185393</v>
      </c>
      <c r="G25" s="176">
        <f>G24-F25</f>
        <v>0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442.4</v>
      </c>
      <c r="D26" s="260" t="s">
        <v>19</v>
      </c>
      <c r="E26" s="221">
        <f>SUM(E12:E25)</f>
        <v>488.10000000000014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0.89999999999986358</v>
      </c>
      <c r="F27" s="310">
        <f>IF((E27/G6*100)&gt;1,"Fehler zu groß",(E27/G6*100))</f>
        <v>0.18404907975457332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4.1663720000000005E-6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2.9E-5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4.3772600000000002E-5</v>
      </c>
      <c r="W36" s="839">
        <v>2.275E-4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7"/>
  <dimension ref="A1:AE36"/>
  <sheetViews>
    <sheetView topLeftCell="T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119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7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164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30</v>
      </c>
      <c r="D6" s="628"/>
      <c r="E6" s="596" t="s">
        <v>41</v>
      </c>
      <c r="F6" s="629"/>
      <c r="G6" s="630">
        <v>1088.3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3"/>
        <v>0</v>
      </c>
      <c r="G12" s="657">
        <f t="shared" ref="G12:G24" si="14">G11-F12</f>
        <v>100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112.5</v>
      </c>
      <c r="E13" s="668">
        <f>D13</f>
        <v>112.5</v>
      </c>
      <c r="F13" s="651">
        <f t="shared" si="13"/>
        <v>10.351490614648508</v>
      </c>
      <c r="G13" s="669">
        <f t="shared" si="14"/>
        <v>89.648509385351488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67</v>
      </c>
      <c r="E14" s="668">
        <f>D14</f>
        <v>67</v>
      </c>
      <c r="F14" s="651">
        <f t="shared" si="13"/>
        <v>6.1648877438351111</v>
      </c>
      <c r="G14" s="669">
        <f t="shared" si="14"/>
        <v>83.483621641516379</v>
      </c>
      <c r="U14" s="116" t="s">
        <v>326</v>
      </c>
      <c r="V14" s="630">
        <v>1090.3</v>
      </c>
      <c r="W14" s="116" t="s">
        <v>327</v>
      </c>
      <c r="X14" s="630">
        <v>1090.3</v>
      </c>
      <c r="Y14" s="116"/>
      <c r="Z14" s="116"/>
      <c r="AA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174.5</v>
      </c>
      <c r="E15" s="656">
        <f>D15</f>
        <v>174.5</v>
      </c>
      <c r="F15" s="673">
        <f t="shared" si="13"/>
        <v>16.056312108943686</v>
      </c>
      <c r="G15" s="674">
        <f t="shared" si="14"/>
        <v>67.427309532572693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  <c r="AA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671.7</v>
      </c>
      <c r="E16" s="678">
        <f>D16-C16</f>
        <v>41.300000000000068</v>
      </c>
      <c r="F16" s="651">
        <f t="shared" si="13"/>
        <v>3.8001472211998588</v>
      </c>
      <c r="G16" s="657">
        <f t="shared" si="14"/>
        <v>63.627162311372835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  <c r="AA16" s="116"/>
    </row>
    <row r="17" spans="1:27" ht="22.5" customHeight="1" thickBot="1" x14ac:dyDescent="0.25">
      <c r="A17" s="986"/>
      <c r="B17" s="679">
        <v>4</v>
      </c>
      <c r="C17" s="666">
        <v>519.29999999999995</v>
      </c>
      <c r="D17" s="680">
        <v>616.5</v>
      </c>
      <c r="E17" s="681">
        <f t="shared" ref="E17:E24" si="15">D17-C17</f>
        <v>97.200000000000045</v>
      </c>
      <c r="F17" s="651">
        <f t="shared" si="13"/>
        <v>8.9436878910563156</v>
      </c>
      <c r="G17" s="669">
        <f t="shared" si="14"/>
        <v>54.683474420316522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  <c r="AA17" s="116"/>
    </row>
    <row r="18" spans="1:27" ht="21.95" customHeight="1" x14ac:dyDescent="0.2">
      <c r="A18" s="986"/>
      <c r="B18" s="679">
        <v>2</v>
      </c>
      <c r="C18" s="666">
        <v>506.2</v>
      </c>
      <c r="D18" s="680">
        <v>616.29999999999995</v>
      </c>
      <c r="E18" s="682">
        <f t="shared" si="15"/>
        <v>110.09999999999997</v>
      </c>
      <c r="F18" s="651">
        <f t="shared" si="13"/>
        <v>10.130658814869337</v>
      </c>
      <c r="G18" s="669">
        <f t="shared" si="14"/>
        <v>44.552815605447186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  <c r="AA18" s="116"/>
    </row>
    <row r="19" spans="1:27" ht="21.95" customHeight="1" x14ac:dyDescent="0.2">
      <c r="A19" s="986"/>
      <c r="B19" s="679">
        <v>1</v>
      </c>
      <c r="C19" s="666">
        <v>383.8</v>
      </c>
      <c r="D19" s="680">
        <v>471.8</v>
      </c>
      <c r="E19" s="681">
        <f t="shared" si="15"/>
        <v>88</v>
      </c>
      <c r="F19" s="651">
        <f t="shared" si="13"/>
        <v>8.0971659919028323</v>
      </c>
      <c r="G19" s="669">
        <f t="shared" si="14"/>
        <v>36.455649613544352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  <c r="AA19" s="116"/>
    </row>
    <row r="20" spans="1:27" ht="21.95" customHeight="1" x14ac:dyDescent="0.2">
      <c r="A20" s="986"/>
      <c r="B20" s="665">
        <v>0.63</v>
      </c>
      <c r="C20" s="666">
        <v>376.2</v>
      </c>
      <c r="D20" s="680">
        <v>511.7</v>
      </c>
      <c r="E20" s="682">
        <f t="shared" si="15"/>
        <v>135.5</v>
      </c>
      <c r="F20" s="651">
        <f t="shared" si="13"/>
        <v>12.467795362532202</v>
      </c>
      <c r="G20" s="669">
        <f t="shared" si="14"/>
        <v>23.987854251012152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5.2</v>
      </c>
      <c r="X20" s="116"/>
      <c r="Y20" s="116"/>
      <c r="Z20" s="116"/>
      <c r="AA20" s="116"/>
    </row>
    <row r="21" spans="1:27" ht="21.95" customHeight="1" thickBot="1" x14ac:dyDescent="0.25">
      <c r="A21" s="986"/>
      <c r="B21" s="683">
        <v>0.4</v>
      </c>
      <c r="C21" s="666">
        <v>330.8</v>
      </c>
      <c r="D21" s="680">
        <v>407.8</v>
      </c>
      <c r="E21" s="681">
        <f t="shared" si="15"/>
        <v>77</v>
      </c>
      <c r="F21" s="651">
        <f t="shared" si="13"/>
        <v>7.0850202429149789</v>
      </c>
      <c r="G21" s="669">
        <f t="shared" si="14"/>
        <v>16.902834008097173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0.105</v>
      </c>
      <c r="X21" s="116"/>
      <c r="Y21" s="116"/>
      <c r="Z21" s="116"/>
      <c r="AA21" s="116"/>
    </row>
    <row r="22" spans="1:27" ht="21.95" customHeight="1" thickBot="1" x14ac:dyDescent="0.3">
      <c r="A22" s="986"/>
      <c r="B22" s="683">
        <v>0.2</v>
      </c>
      <c r="C22" s="666">
        <v>326.10000000000002</v>
      </c>
      <c r="D22" s="680">
        <v>369.1</v>
      </c>
      <c r="E22" s="682">
        <f t="shared" si="15"/>
        <v>43</v>
      </c>
      <c r="F22" s="651">
        <f t="shared" si="13"/>
        <v>3.9565697460434297</v>
      </c>
      <c r="G22" s="669">
        <f t="shared" si="14"/>
        <v>12.946264262053743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49.523809523809526</v>
      </c>
      <c r="X22" s="116"/>
      <c r="Y22" s="116"/>
      <c r="Z22" s="116"/>
      <c r="AA22" s="116"/>
    </row>
    <row r="23" spans="1:27" ht="21.95" customHeight="1" thickBot="1" x14ac:dyDescent="0.25">
      <c r="A23" s="986"/>
      <c r="B23" s="683">
        <v>0.1</v>
      </c>
      <c r="C23" s="666">
        <v>304.39999999999998</v>
      </c>
      <c r="D23" s="680">
        <v>343.7</v>
      </c>
      <c r="E23" s="681">
        <f t="shared" si="15"/>
        <v>39.300000000000011</v>
      </c>
      <c r="F23" s="651">
        <f t="shared" si="13"/>
        <v>3.6161207213838793</v>
      </c>
      <c r="G23" s="684">
        <f t="shared" si="14"/>
        <v>9.3301435406698641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  <c r="AA23" s="116"/>
    </row>
    <row r="24" spans="1:27" ht="21.95" customHeight="1" thickBot="1" x14ac:dyDescent="0.3">
      <c r="A24" s="988"/>
      <c r="B24" s="685">
        <v>6.3E-2</v>
      </c>
      <c r="C24" s="666">
        <v>313.7</v>
      </c>
      <c r="D24" s="680">
        <v>326.89999999999998</v>
      </c>
      <c r="E24" s="682">
        <f t="shared" si="15"/>
        <v>13.199999999999989</v>
      </c>
      <c r="F24" s="686">
        <f t="shared" si="13"/>
        <v>1.2145748987854239</v>
      </c>
      <c r="G24" s="687">
        <f t="shared" si="14"/>
        <v>8.1155686418844404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1.3172669999999995E-4</v>
      </c>
      <c r="X24" s="116"/>
      <c r="Y24" s="116"/>
      <c r="Z24" s="116"/>
      <c r="AA24" s="116"/>
    </row>
    <row r="25" spans="1:27" ht="21.95" customHeight="1" thickBot="1" x14ac:dyDescent="0.3">
      <c r="A25" s="806"/>
      <c r="B25" s="670" t="s">
        <v>14</v>
      </c>
      <c r="C25" s="689">
        <v>367.5</v>
      </c>
      <c r="D25" s="690">
        <v>377.7</v>
      </c>
      <c r="E25" s="691">
        <f>D25-C25+(G6-C26)</f>
        <v>88.199999999999989</v>
      </c>
      <c r="F25" s="651">
        <f t="shared" si="13"/>
        <v>8.1155686418844279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  <c r="AA25" s="116"/>
    </row>
    <row r="26" spans="1:27" ht="21.95" customHeight="1" x14ac:dyDescent="0.2">
      <c r="A26" s="989" t="s">
        <v>40</v>
      </c>
      <c r="B26" s="990"/>
      <c r="C26" s="692">
        <v>1010.3</v>
      </c>
      <c r="D26" s="693" t="s">
        <v>19</v>
      </c>
      <c r="E26" s="694">
        <f>SUM(E12:E25)</f>
        <v>1086.8000000000002</v>
      </c>
      <c r="F26" s="695">
        <f>SUM(F12:F25)</f>
        <v>99.999999999999986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  <c r="AA26" s="116"/>
    </row>
    <row r="27" spans="1:27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1.4999999999997726</v>
      </c>
      <c r="F27" s="700">
        <f>IF((E27/G6*100)&gt;1,"Fehler zu groß",(E27/G6*100))</f>
        <v>0.13782964256177274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9.3743369999999972E-6</v>
      </c>
      <c r="X27" s="276" t="str">
        <f>IF(W22&lt;5.000001,"OK","U größer 5")</f>
        <v>U größer 5</v>
      </c>
      <c r="Y27" s="116"/>
      <c r="Z27" s="116"/>
      <c r="AA27" s="116"/>
    </row>
    <row r="28" spans="1:27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  <c r="AA28" s="116"/>
    </row>
    <row r="29" spans="1:27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 t="s">
        <v>113</v>
      </c>
      <c r="Y29" s="288">
        <v>9.8499999999999998E-4</v>
      </c>
      <c r="Z29" s="286" t="s">
        <v>114</v>
      </c>
      <c r="AA29" s="116"/>
    </row>
    <row r="30" spans="1:27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  <c r="AA30" s="116"/>
    </row>
    <row r="31" spans="1:27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  <c r="AA31" s="116"/>
    </row>
    <row r="32" spans="1:27" ht="21.95" customHeight="1" x14ac:dyDescent="0.35">
      <c r="A32" s="805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  <c r="AA32" s="116"/>
    </row>
    <row r="33" spans="1:27" ht="21.95" customHeight="1" thickBot="1" x14ac:dyDescent="0.3">
      <c r="A33" s="805" t="s">
        <v>45</v>
      </c>
      <c r="B33" s="80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319" t="str">
        <f>IF(W22&gt;20.1,"ungültig","OK")</f>
        <v>ungültig</v>
      </c>
      <c r="X33" s="282"/>
      <c r="Y33" s="282"/>
      <c r="Z33" s="283"/>
      <c r="AA33" s="116"/>
    </row>
    <row r="34" spans="1:27" ht="21.95" customHeight="1" x14ac:dyDescent="0.25">
      <c r="A34" s="80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  <c r="AA34" s="116"/>
    </row>
    <row r="35" spans="1:27" ht="21.95" customHeight="1" x14ac:dyDescent="0.3">
      <c r="A35" s="805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  <c r="AA35" s="116"/>
    </row>
    <row r="36" spans="1:27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6.5863349999999973E-5</v>
      </c>
      <c r="W36" s="839">
        <v>3.3290000000000001E-4</v>
      </c>
      <c r="X36" s="116"/>
      <c r="Y36" s="116"/>
      <c r="Z36" s="116"/>
      <c r="AA36" s="116"/>
    </row>
  </sheetData>
  <sheetProtection selectLockedCells="1"/>
  <protectedRanges>
    <protectedRange password="C4F2" sqref="E3:E4 C3:C6 D5:D6 G3:G6 F5 V14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8"/>
  <dimension ref="A1:Z36"/>
  <sheetViews>
    <sheetView topLeftCell="R7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120</v>
      </c>
      <c r="D3" s="118" t="s">
        <v>25</v>
      </c>
      <c r="E3" s="121">
        <v>39849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40</v>
      </c>
      <c r="D6" s="302"/>
      <c r="E6" s="127" t="s">
        <v>41</v>
      </c>
      <c r="F6" s="146"/>
      <c r="G6" s="147">
        <v>554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/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56.8</v>
      </c>
      <c r="E12" s="175">
        <f>D12</f>
        <v>56.8</v>
      </c>
      <c r="F12" s="170">
        <f t="shared" si="5"/>
        <v>10.263823635706538</v>
      </c>
      <c r="G12" s="176">
        <f t="shared" ref="G12:G24" si="6">G11-F12</f>
        <v>89.736176364293456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16.600000000000001</v>
      </c>
      <c r="E13" s="181">
        <f>D13</f>
        <v>16.600000000000001</v>
      </c>
      <c r="F13" s="170">
        <f t="shared" si="5"/>
        <v>2.9996385977593061</v>
      </c>
      <c r="G13" s="182">
        <f t="shared" si="6"/>
        <v>86.736537766534155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63.5</v>
      </c>
      <c r="E14" s="181">
        <f>D14</f>
        <v>63.5</v>
      </c>
      <c r="F14" s="170">
        <f t="shared" si="5"/>
        <v>11.474521142031078</v>
      </c>
      <c r="G14" s="182">
        <f t="shared" si="6"/>
        <v>75.262016624503076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68.7</v>
      </c>
      <c r="E15" s="175">
        <f>D15</f>
        <v>68.7</v>
      </c>
      <c r="F15" s="194">
        <f t="shared" si="5"/>
        <v>12.4141669678352</v>
      </c>
      <c r="G15" s="195">
        <f t="shared" si="6"/>
        <v>62.847849656667876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650.5</v>
      </c>
      <c r="E16" s="202">
        <f>D16-C16</f>
        <v>20.100000000000023</v>
      </c>
      <c r="F16" s="170">
        <f t="shared" si="5"/>
        <v>3.6320925189736211</v>
      </c>
      <c r="G16" s="176">
        <f t="shared" si="6"/>
        <v>59.215757137694254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573.4</v>
      </c>
      <c r="E17" s="208">
        <f t="shared" ref="E17:E24" si="7">D17-C17</f>
        <v>54.100000000000023</v>
      </c>
      <c r="F17" s="170">
        <f t="shared" si="5"/>
        <v>9.7759306107697892</v>
      </c>
      <c r="G17" s="182">
        <f t="shared" si="6"/>
        <v>49.439826526924463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567.6</v>
      </c>
      <c r="E18" s="209">
        <f t="shared" si="7"/>
        <v>61.400000000000034</v>
      </c>
      <c r="F18" s="170">
        <f t="shared" si="5"/>
        <v>11.095048789302497</v>
      </c>
      <c r="G18" s="182">
        <f t="shared" si="6"/>
        <v>38.344777737621968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428.4</v>
      </c>
      <c r="E19" s="208">
        <f t="shared" si="7"/>
        <v>44.599999999999966</v>
      </c>
      <c r="F19" s="170">
        <f t="shared" si="5"/>
        <v>8.0592699674737904</v>
      </c>
      <c r="G19" s="182">
        <f t="shared" si="6"/>
        <v>30.285507770148179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425.7</v>
      </c>
      <c r="E20" s="209">
        <f t="shared" si="7"/>
        <v>49.5</v>
      </c>
      <c r="F20" s="170">
        <f t="shared" si="5"/>
        <v>8.9447054571738338</v>
      </c>
      <c r="G20" s="182">
        <f t="shared" si="6"/>
        <v>21.340802312974347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7.1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370.9</v>
      </c>
      <c r="E21" s="208">
        <f t="shared" si="7"/>
        <v>40.099999999999966</v>
      </c>
      <c r="F21" s="170">
        <f t="shared" si="5"/>
        <v>7.2461149259125337</v>
      </c>
      <c r="G21" s="182">
        <f t="shared" si="6"/>
        <v>14.094687387061814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0.21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349.1</v>
      </c>
      <c r="E22" s="209">
        <f t="shared" si="7"/>
        <v>23</v>
      </c>
      <c r="F22" s="170">
        <f t="shared" si="5"/>
        <v>4.156125767979761</v>
      </c>
      <c r="G22" s="182">
        <f t="shared" si="6"/>
        <v>9.9385616190820532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33.80952380952381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319.89999999999998</v>
      </c>
      <c r="E23" s="208">
        <f t="shared" si="7"/>
        <v>15.5</v>
      </c>
      <c r="F23" s="170">
        <f t="shared" si="5"/>
        <v>2.8008673653776648</v>
      </c>
      <c r="G23" s="211">
        <f t="shared" si="6"/>
        <v>7.1376942537043888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318</v>
      </c>
      <c r="E24" s="209">
        <f t="shared" si="7"/>
        <v>4.3000000000000114</v>
      </c>
      <c r="F24" s="213">
        <f t="shared" si="5"/>
        <v>0.7770148174918704</v>
      </c>
      <c r="G24" s="214">
        <f t="shared" si="6"/>
        <v>6.3606794362125187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5.2690679999999978E-4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368.7</v>
      </c>
      <c r="E25" s="218">
        <f>D25-C25+(G6-C26)</f>
        <v>35.199999999999989</v>
      </c>
      <c r="F25" s="170">
        <f t="shared" si="5"/>
        <v>6.3606794362125019</v>
      </c>
      <c r="G25" s="176">
        <f>G24-F25</f>
        <v>1.6875389974302379E-14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520</v>
      </c>
      <c r="D26" s="260" t="s">
        <v>19</v>
      </c>
      <c r="E26" s="221">
        <f>SUM(E12:E25)</f>
        <v>553.40000000000009</v>
      </c>
      <c r="F26" s="305">
        <f>SUM(F12:F25)</f>
        <v>100.00000000000001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0.59999999999990905</v>
      </c>
      <c r="F27" s="310">
        <f>IF((E27/G6*100)&gt;1,"Fehler zu groß",(E27/G6*100))</f>
        <v>0.10830324909745651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3.7497347999999989E-5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2.3000000000000001E-4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3.7845339999999987E-4</v>
      </c>
      <c r="W36" s="839">
        <v>5.0409999999999995E-4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09"/>
  <dimension ref="A1:AE36"/>
  <sheetViews>
    <sheetView topLeftCell="Q4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121</v>
      </c>
      <c r="D3" s="580" t="s">
        <v>25</v>
      </c>
      <c r="E3" s="582">
        <v>39885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0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/>
      <c r="L4" s="604"/>
      <c r="M4" s="602">
        <f t="shared" ref="M4:M10" si="0">(L4-1)*1000</f>
        <v>-1000</v>
      </c>
      <c r="N4" s="602">
        <f>M4+$G$33</f>
        <v>-998.5</v>
      </c>
      <c r="O4" s="605"/>
      <c r="P4" s="606">
        <f t="shared" ref="P4:P10" si="1">N4+O4</f>
        <v>-998.5</v>
      </c>
      <c r="Q4" s="607" t="e">
        <f>((18.35*V4/($F$34-W4))*Z4)^0.5</f>
        <v>#DIV/0!</v>
      </c>
      <c r="R4" s="602" t="e">
        <f t="shared" ref="R4:R10" si="2">$F$36*P4</f>
        <v>#DIV/0!</v>
      </c>
      <c r="S4" s="608" t="e">
        <f t="shared" ref="S4:S10" si="3">$G$24/100*R4</f>
        <v>#DIV/0!</v>
      </c>
      <c r="U4" s="609">
        <f>1+0.001*N4</f>
        <v>1.4999999999999458E-3</v>
      </c>
      <c r="V4" s="610">
        <f>0.00178/(1+0.0337*K4+0.00022*K4^2)</f>
        <v>1.7799999999999999E-3</v>
      </c>
      <c r="W4" s="609">
        <f>1/(1+((2.31*K4-2)^2-182)*0.00001)</f>
        <v>1.0017831740498087</v>
      </c>
      <c r="X4" s="611">
        <f>4142.8*(1.03-U4)/10</f>
        <v>426.08698000000015</v>
      </c>
      <c r="Y4" s="612" t="e">
        <f t="shared" ref="Y4:Y12" si="4">X4+$AB$5+0.5*($AC$5-$AD$5/$AE$5)</f>
        <v>#DIV/0!</v>
      </c>
      <c r="Z4" s="613" t="e">
        <f t="shared" ref="Z4:Z12" si="5">Y4/I4</f>
        <v>#DIV/0!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136</v>
      </c>
      <c r="D5" s="617"/>
      <c r="E5" s="618" t="s">
        <v>4</v>
      </c>
      <c r="F5" s="619" t="s">
        <v>238</v>
      </c>
      <c r="G5" s="620"/>
      <c r="I5" s="601">
        <f>J5*60</f>
        <v>60</v>
      </c>
      <c r="J5" s="621">
        <v>1</v>
      </c>
      <c r="K5" s="603"/>
      <c r="L5" s="604"/>
      <c r="M5" s="602">
        <f t="shared" si="0"/>
        <v>-1000</v>
      </c>
      <c r="N5" s="602">
        <f t="shared" ref="N5:N12" si="6">M5+$G$33</f>
        <v>-998.5</v>
      </c>
      <c r="O5" s="605"/>
      <c r="P5" s="606">
        <f t="shared" si="1"/>
        <v>-998.5</v>
      </c>
      <c r="Q5" s="607" t="e">
        <f t="shared" ref="Q5:Q12" si="7">((18.35*V5/($F$34-W5))*Z5)^0.5</f>
        <v>#DIV/0!</v>
      </c>
      <c r="R5" s="602" t="e">
        <f t="shared" si="2"/>
        <v>#DIV/0!</v>
      </c>
      <c r="S5" s="608" t="e">
        <f t="shared" si="3"/>
        <v>#DIV/0!</v>
      </c>
      <c r="U5" s="609">
        <f t="shared" ref="U5:U12" si="8">1+0.001*N5</f>
        <v>1.4999999999999458E-3</v>
      </c>
      <c r="V5" s="610">
        <f t="shared" ref="V5:V12" si="9">0.00178/(1+0.0337*K5+0.00022*K5^2)</f>
        <v>1.7799999999999999E-3</v>
      </c>
      <c r="W5" s="609">
        <f t="shared" ref="W5:W12" si="10">1/(1+((2.31*K5-2)^2-182)*0.00001)</f>
        <v>1.0017831740498087</v>
      </c>
      <c r="X5" s="611">
        <f t="shared" ref="X5:X12" si="11">4142.8*(1.03-U5)/10</f>
        <v>426.08698000000015</v>
      </c>
      <c r="Y5" s="612" t="e">
        <f t="shared" si="4"/>
        <v>#DIV/0!</v>
      </c>
      <c r="Z5" s="613" t="e">
        <f t="shared" si="5"/>
        <v>#DIV/0!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0</v>
      </c>
    </row>
    <row r="6" spans="1:31" ht="20.100000000000001" customHeight="1" x14ac:dyDescent="0.35">
      <c r="A6" s="626" t="s">
        <v>28</v>
      </c>
      <c r="B6" s="627"/>
      <c r="C6" s="616">
        <v>40</v>
      </c>
      <c r="D6" s="628"/>
      <c r="E6" s="596" t="s">
        <v>41</v>
      </c>
      <c r="F6" s="629"/>
      <c r="G6" s="630">
        <v>580.79999999999995</v>
      </c>
      <c r="I6" s="601">
        <f t="shared" ref="I6:I12" si="12">J6*60</f>
        <v>120</v>
      </c>
      <c r="J6" s="621">
        <v>2</v>
      </c>
      <c r="K6" s="603"/>
      <c r="L6" s="604"/>
      <c r="M6" s="602">
        <f t="shared" si="0"/>
        <v>-1000</v>
      </c>
      <c r="N6" s="602">
        <f t="shared" si="6"/>
        <v>-998.5</v>
      </c>
      <c r="O6" s="605"/>
      <c r="P6" s="606">
        <f t="shared" si="1"/>
        <v>-998.5</v>
      </c>
      <c r="Q6" s="607" t="e">
        <f t="shared" si="7"/>
        <v>#DIV/0!</v>
      </c>
      <c r="R6" s="602" t="e">
        <f t="shared" si="2"/>
        <v>#DIV/0!</v>
      </c>
      <c r="S6" s="608" t="e">
        <f t="shared" si="3"/>
        <v>#DIV/0!</v>
      </c>
      <c r="U6" s="609">
        <f t="shared" si="8"/>
        <v>1.4999999999999458E-3</v>
      </c>
      <c r="V6" s="610">
        <f t="shared" si="9"/>
        <v>1.7799999999999999E-3</v>
      </c>
      <c r="W6" s="609">
        <f t="shared" si="10"/>
        <v>1.0017831740498087</v>
      </c>
      <c r="X6" s="611">
        <f t="shared" si="11"/>
        <v>426.08698000000015</v>
      </c>
      <c r="Y6" s="612" t="e">
        <f t="shared" si="4"/>
        <v>#DIV/0!</v>
      </c>
      <c r="Z6" s="613" t="e">
        <f t="shared" si="5"/>
        <v>#DIV/0!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2"/>
        <v>300</v>
      </c>
      <c r="J7" s="621">
        <v>5</v>
      </c>
      <c r="K7" s="723"/>
      <c r="L7" s="604"/>
      <c r="M7" s="602">
        <f t="shared" si="0"/>
        <v>-1000</v>
      </c>
      <c r="N7" s="602">
        <f t="shared" si="6"/>
        <v>-998.5</v>
      </c>
      <c r="O7" s="605"/>
      <c r="P7" s="606">
        <f t="shared" si="1"/>
        <v>-998.5</v>
      </c>
      <c r="Q7" s="607" t="e">
        <f t="shared" si="7"/>
        <v>#DIV/0!</v>
      </c>
      <c r="R7" s="602" t="e">
        <f t="shared" si="2"/>
        <v>#DIV/0!</v>
      </c>
      <c r="S7" s="608" t="e">
        <f t="shared" si="3"/>
        <v>#DIV/0!</v>
      </c>
      <c r="U7" s="609">
        <f t="shared" si="8"/>
        <v>1.4999999999999458E-3</v>
      </c>
      <c r="V7" s="610">
        <f t="shared" si="9"/>
        <v>1.7799999999999999E-3</v>
      </c>
      <c r="W7" s="609">
        <f t="shared" si="10"/>
        <v>1.0017831740498087</v>
      </c>
      <c r="X7" s="611">
        <f t="shared" si="11"/>
        <v>426.08698000000015</v>
      </c>
      <c r="Y7" s="612" t="e">
        <f t="shared" si="4"/>
        <v>#DIV/0!</v>
      </c>
      <c r="Z7" s="613" t="e">
        <f t="shared" si="5"/>
        <v>#DIV/0!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2"/>
        <v>900</v>
      </c>
      <c r="J8" s="621">
        <v>15</v>
      </c>
      <c r="K8" s="723"/>
      <c r="L8" s="604"/>
      <c r="M8" s="602">
        <f t="shared" si="0"/>
        <v>-1000</v>
      </c>
      <c r="N8" s="602">
        <f t="shared" si="6"/>
        <v>-998.5</v>
      </c>
      <c r="O8" s="605"/>
      <c r="P8" s="606">
        <f t="shared" si="1"/>
        <v>-998.5</v>
      </c>
      <c r="Q8" s="607" t="e">
        <f t="shared" si="7"/>
        <v>#DIV/0!</v>
      </c>
      <c r="R8" s="602" t="e">
        <f t="shared" si="2"/>
        <v>#DIV/0!</v>
      </c>
      <c r="S8" s="608" t="e">
        <f t="shared" si="3"/>
        <v>#DIV/0!</v>
      </c>
      <c r="U8" s="609">
        <f t="shared" si="8"/>
        <v>1.4999999999999458E-3</v>
      </c>
      <c r="V8" s="610">
        <f t="shared" si="9"/>
        <v>1.7799999999999999E-3</v>
      </c>
      <c r="W8" s="609">
        <f t="shared" si="10"/>
        <v>1.0017831740498087</v>
      </c>
      <c r="X8" s="611">
        <f t="shared" si="11"/>
        <v>426.08698000000015</v>
      </c>
      <c r="Y8" s="612" t="e">
        <f t="shared" si="4"/>
        <v>#DIV/0!</v>
      </c>
      <c r="Z8" s="613" t="e">
        <f t="shared" si="5"/>
        <v>#DIV/0!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2"/>
        <v>2700</v>
      </c>
      <c r="J9" s="621">
        <v>45</v>
      </c>
      <c r="K9" s="723"/>
      <c r="L9" s="604"/>
      <c r="M9" s="602">
        <f t="shared" si="0"/>
        <v>-1000</v>
      </c>
      <c r="N9" s="602">
        <f t="shared" si="6"/>
        <v>-998.5</v>
      </c>
      <c r="O9" s="605"/>
      <c r="P9" s="606">
        <f t="shared" si="1"/>
        <v>-998.5</v>
      </c>
      <c r="Q9" s="607" t="e">
        <f t="shared" si="7"/>
        <v>#DIV/0!</v>
      </c>
      <c r="R9" s="602" t="e">
        <f t="shared" si="2"/>
        <v>#DIV/0!</v>
      </c>
      <c r="S9" s="608" t="e">
        <f t="shared" si="3"/>
        <v>#DIV/0!</v>
      </c>
      <c r="U9" s="609">
        <f t="shared" si="8"/>
        <v>1.4999999999999458E-3</v>
      </c>
      <c r="V9" s="610">
        <f t="shared" si="9"/>
        <v>1.7799999999999999E-3</v>
      </c>
      <c r="W9" s="609">
        <f t="shared" si="10"/>
        <v>1.0017831740498087</v>
      </c>
      <c r="X9" s="611">
        <f t="shared" si="11"/>
        <v>426.08698000000015</v>
      </c>
      <c r="Y9" s="612" t="e">
        <f t="shared" si="4"/>
        <v>#DIV/0!</v>
      </c>
      <c r="Z9" s="613" t="e">
        <f t="shared" si="5"/>
        <v>#DIV/0!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2"/>
        <v>7200</v>
      </c>
      <c r="J10" s="621">
        <v>120</v>
      </c>
      <c r="K10" s="723"/>
      <c r="L10" s="604"/>
      <c r="M10" s="602">
        <f t="shared" si="0"/>
        <v>-1000</v>
      </c>
      <c r="N10" s="602">
        <f t="shared" si="6"/>
        <v>-998.5</v>
      </c>
      <c r="O10" s="724"/>
      <c r="P10" s="606">
        <f t="shared" si="1"/>
        <v>-998.5</v>
      </c>
      <c r="Q10" s="607" t="e">
        <f t="shared" si="7"/>
        <v>#DIV/0!</v>
      </c>
      <c r="R10" s="602" t="e">
        <f t="shared" si="2"/>
        <v>#DIV/0!</v>
      </c>
      <c r="S10" s="608" t="e">
        <f t="shared" si="3"/>
        <v>#DIV/0!</v>
      </c>
      <c r="U10" s="609">
        <f t="shared" si="8"/>
        <v>1.4999999999999458E-3</v>
      </c>
      <c r="V10" s="610">
        <f t="shared" si="9"/>
        <v>1.7799999999999999E-3</v>
      </c>
      <c r="W10" s="609">
        <f t="shared" si="10"/>
        <v>1.0017831740498087</v>
      </c>
      <c r="X10" s="611">
        <f t="shared" si="11"/>
        <v>426.08698000000015</v>
      </c>
      <c r="Y10" s="612" t="e">
        <f t="shared" si="4"/>
        <v>#DIV/0!</v>
      </c>
      <c r="Z10" s="613" t="e">
        <f t="shared" si="5"/>
        <v>#DIV/0!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3">E11/$E$26*100</f>
        <v>0</v>
      </c>
      <c r="G11" s="652">
        <v>100</v>
      </c>
      <c r="I11" s="601">
        <f t="shared" si="12"/>
        <v>21600</v>
      </c>
      <c r="J11" s="621">
        <v>360</v>
      </c>
      <c r="K11" s="723"/>
      <c r="L11" s="604"/>
      <c r="M11" s="602">
        <f>(L11-1)*1000</f>
        <v>-1000</v>
      </c>
      <c r="N11" s="602">
        <f t="shared" si="6"/>
        <v>-998.5</v>
      </c>
      <c r="O11" s="724"/>
      <c r="P11" s="606">
        <f>N11+O11</f>
        <v>-998.5</v>
      </c>
      <c r="Q11" s="607" t="e">
        <f t="shared" si="7"/>
        <v>#DIV/0!</v>
      </c>
      <c r="R11" s="602" t="e">
        <f>$F$36*P11</f>
        <v>#DIV/0!</v>
      </c>
      <c r="S11" s="608" t="e">
        <f>$G$24/100*R11</f>
        <v>#DIV/0!</v>
      </c>
      <c r="U11" s="609">
        <f t="shared" si="8"/>
        <v>1.4999999999999458E-3</v>
      </c>
      <c r="V11" s="610">
        <f t="shared" si="9"/>
        <v>1.7799999999999999E-3</v>
      </c>
      <c r="W11" s="609">
        <f t="shared" si="10"/>
        <v>1.0017831740498087</v>
      </c>
      <c r="X11" s="611">
        <f t="shared" si="11"/>
        <v>426.08698000000015</v>
      </c>
      <c r="Y11" s="612" t="e">
        <f t="shared" si="4"/>
        <v>#DIV/0!</v>
      </c>
      <c r="Z11" s="613" t="e">
        <f t="shared" si="5"/>
        <v>#DIV/0!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115</v>
      </c>
      <c r="E12" s="656">
        <f>D12</f>
        <v>115</v>
      </c>
      <c r="F12" s="651">
        <f t="shared" si="13"/>
        <v>19.44538383496787</v>
      </c>
      <c r="G12" s="657">
        <f t="shared" ref="G12:G24" si="14">G11-F12</f>
        <v>80.55461616503213</v>
      </c>
      <c r="I12" s="658">
        <f t="shared" si="12"/>
        <v>86400</v>
      </c>
      <c r="J12" s="659">
        <v>1440</v>
      </c>
      <c r="K12" s="725"/>
      <c r="L12" s="660"/>
      <c r="M12" s="661">
        <f>(L12-1)*1000</f>
        <v>-1000</v>
      </c>
      <c r="N12" s="661">
        <f t="shared" si="6"/>
        <v>-998.5</v>
      </c>
      <c r="O12" s="726"/>
      <c r="P12" s="662">
        <f>N12+O12</f>
        <v>-998.5</v>
      </c>
      <c r="Q12" s="663" t="e">
        <f t="shared" si="7"/>
        <v>#DIV/0!</v>
      </c>
      <c r="R12" s="661" t="e">
        <f>$F$36*P12</f>
        <v>#DIV/0!</v>
      </c>
      <c r="S12" s="664" t="e">
        <f>$G$24/100*R12</f>
        <v>#DIV/0!</v>
      </c>
      <c r="U12" s="609">
        <f t="shared" si="8"/>
        <v>1.4999999999999458E-3</v>
      </c>
      <c r="V12" s="610">
        <f t="shared" si="9"/>
        <v>1.7799999999999999E-3</v>
      </c>
      <c r="W12" s="609">
        <f t="shared" si="10"/>
        <v>1.0017831740498087</v>
      </c>
      <c r="X12" s="611">
        <f t="shared" si="11"/>
        <v>426.08698000000015</v>
      </c>
      <c r="Y12" s="612" t="e">
        <f t="shared" si="4"/>
        <v>#DIV/0!</v>
      </c>
      <c r="Z12" s="613" t="e">
        <f t="shared" si="5"/>
        <v>#DIV/0!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29.5</v>
      </c>
      <c r="E13" s="668">
        <f>D13</f>
        <v>29.5</v>
      </c>
      <c r="F13" s="651">
        <f t="shared" si="13"/>
        <v>4.9881636794048019</v>
      </c>
      <c r="G13" s="669">
        <f t="shared" si="14"/>
        <v>75.566452485627323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60.7</v>
      </c>
      <c r="E14" s="668">
        <f>D14</f>
        <v>60.7</v>
      </c>
      <c r="F14" s="651">
        <f t="shared" si="13"/>
        <v>10.263780858978693</v>
      </c>
      <c r="G14" s="669">
        <f t="shared" si="14"/>
        <v>65.302671626648632</v>
      </c>
      <c r="U14" s="116"/>
      <c r="V14" s="116"/>
      <c r="W14" s="116"/>
      <c r="X14" s="116"/>
      <c r="Y14" s="116"/>
      <c r="Z14" s="116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130.19999999999999</v>
      </c>
      <c r="E15" s="656">
        <f>D15</f>
        <v>130.19999999999999</v>
      </c>
      <c r="F15" s="673">
        <f t="shared" si="13"/>
        <v>22.015556307067968</v>
      </c>
      <c r="G15" s="674">
        <f t="shared" si="14"/>
        <v>43.287115319580664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16"/>
      <c r="Y15" s="116"/>
      <c r="Z15" s="116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648.4</v>
      </c>
      <c r="E16" s="678">
        <f>D16-C16</f>
        <v>18</v>
      </c>
      <c r="F16" s="651">
        <f t="shared" si="13"/>
        <v>3.0436252959080146</v>
      </c>
      <c r="G16" s="657">
        <f t="shared" si="14"/>
        <v>40.243490023672649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116"/>
      <c r="Y16" s="116"/>
      <c r="Z16" s="116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567.1</v>
      </c>
      <c r="E17" s="681">
        <f t="shared" ref="E17:E24" si="15">D17-C17</f>
        <v>47.800000000000068</v>
      </c>
      <c r="F17" s="651">
        <f t="shared" si="13"/>
        <v>8.0825160635779607</v>
      </c>
      <c r="G17" s="669">
        <f t="shared" si="14"/>
        <v>32.160973960094687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549.29999999999995</v>
      </c>
      <c r="E18" s="682">
        <f t="shared" si="15"/>
        <v>43.099999999999966</v>
      </c>
      <c r="F18" s="651">
        <f t="shared" si="13"/>
        <v>7.2877916807575174</v>
      </c>
      <c r="G18" s="669">
        <f t="shared" si="14"/>
        <v>24.873182279337168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408</v>
      </c>
      <c r="E19" s="681">
        <f t="shared" si="15"/>
        <v>24.199999999999989</v>
      </c>
      <c r="F19" s="651">
        <f t="shared" si="13"/>
        <v>4.0919851200541064</v>
      </c>
      <c r="G19" s="669">
        <f t="shared" si="14"/>
        <v>20.78119715928306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401.5</v>
      </c>
      <c r="E20" s="682">
        <f t="shared" si="15"/>
        <v>25.300000000000011</v>
      </c>
      <c r="F20" s="651">
        <f t="shared" si="13"/>
        <v>4.2779844436929331</v>
      </c>
      <c r="G20" s="669">
        <f t="shared" si="14"/>
        <v>16.503212715590127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15.5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348.8</v>
      </c>
      <c r="E21" s="681">
        <f t="shared" si="15"/>
        <v>18</v>
      </c>
      <c r="F21" s="651">
        <f t="shared" si="13"/>
        <v>3.0436252959080146</v>
      </c>
      <c r="G21" s="669">
        <f t="shared" si="14"/>
        <v>13.459587419682112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0.21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348.2</v>
      </c>
      <c r="E22" s="682">
        <f t="shared" si="15"/>
        <v>22.099999999999966</v>
      </c>
      <c r="F22" s="651">
        <f t="shared" si="13"/>
        <v>3.7368955021981676</v>
      </c>
      <c r="G22" s="669">
        <f t="shared" si="14"/>
        <v>9.7226919174839441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73.80952380952381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312.5</v>
      </c>
      <c r="E23" s="681">
        <f t="shared" si="15"/>
        <v>8.1000000000000227</v>
      </c>
      <c r="F23" s="651">
        <f t="shared" si="13"/>
        <v>1.3696313831586104</v>
      </c>
      <c r="G23" s="684">
        <f t="shared" si="14"/>
        <v>8.3530605343253335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324.60000000000002</v>
      </c>
      <c r="E24" s="682">
        <f t="shared" si="15"/>
        <v>10.900000000000034</v>
      </c>
      <c r="F24" s="686">
        <f t="shared" si="13"/>
        <v>1.8430842069665256</v>
      </c>
      <c r="G24" s="687">
        <f t="shared" si="14"/>
        <v>6.5099763273588076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5.2690679999999978E-4</v>
      </c>
      <c r="X24" s="116"/>
      <c r="Y24" s="116"/>
      <c r="Z24" s="116"/>
    </row>
    <row r="25" spans="1:26" ht="21.95" customHeight="1" thickBot="1" x14ac:dyDescent="0.3">
      <c r="A25" s="810"/>
      <c r="B25" s="670" t="s">
        <v>14</v>
      </c>
      <c r="C25" s="689">
        <v>367.5</v>
      </c>
      <c r="D25" s="690">
        <v>368.7</v>
      </c>
      <c r="E25" s="691">
        <f>D25-C25+(G6-C26)</f>
        <v>38.499999999999943</v>
      </c>
      <c r="F25" s="651">
        <f t="shared" si="13"/>
        <v>6.5099763273587987</v>
      </c>
      <c r="G25" s="657">
        <f>G24-F25</f>
        <v>8.8817841970012523E-15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543.5</v>
      </c>
      <c r="D26" s="693" t="s">
        <v>19</v>
      </c>
      <c r="E26" s="694">
        <f>SUM(E12:E25)</f>
        <v>591.40000000000009</v>
      </c>
      <c r="F26" s="695">
        <f>SUM(F12:F25)</f>
        <v>99.999999999999972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-10.600000000000136</v>
      </c>
      <c r="F27" s="700">
        <f>IF((E27/G6*100)&gt;1,"Fehler zu groß",(E27/G6*100))</f>
        <v>-1.8250688705234397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3.7497347999999989E-5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>
        <v>2.4000000000000001E-4</v>
      </c>
      <c r="X29" s="286" t="s">
        <v>113</v>
      </c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09" t="s">
        <v>80</v>
      </c>
      <c r="B32" s="713"/>
      <c r="C32" s="713"/>
      <c r="D32" s="713"/>
      <c r="E32" s="714"/>
      <c r="F32" s="715"/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09" t="s">
        <v>45</v>
      </c>
      <c r="B33" s="809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09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809" t="s">
        <v>36</v>
      </c>
      <c r="B35" s="713"/>
      <c r="C35" s="713"/>
      <c r="D35" s="713"/>
      <c r="E35" s="714"/>
      <c r="F35" s="715"/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 t="e">
        <f>100/F35*F34/(F34-1)</f>
        <v>#DIV/0!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(W24+W29)/2</f>
        <v>3.8345339999999988E-4</v>
      </c>
      <c r="W36" s="839">
        <v>6.8119999999999997E-4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0"/>
  <dimension ref="A1:Z36"/>
  <sheetViews>
    <sheetView topLeftCell="Q8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85546875" style="116" customWidth="1"/>
    <col min="5" max="5" width="12" style="116" customWidth="1"/>
    <col min="6" max="6" width="14.8554687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115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2">
      <c r="A3" s="117" t="s">
        <v>23</v>
      </c>
      <c r="B3" s="118"/>
      <c r="C3" s="119" t="s">
        <v>99</v>
      </c>
      <c r="D3" s="120"/>
      <c r="E3" s="118" t="s">
        <v>25</v>
      </c>
      <c r="F3" s="121">
        <v>39841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29"/>
      <c r="E4" s="130" t="s">
        <v>24</v>
      </c>
      <c r="F4" s="128" t="s">
        <v>90</v>
      </c>
      <c r="G4" s="131"/>
      <c r="H4" s="115"/>
      <c r="I4" s="132"/>
      <c r="J4" s="133">
        <v>0.5</v>
      </c>
      <c r="K4" s="134"/>
      <c r="L4" s="135"/>
      <c r="M4" s="133">
        <f t="shared" ref="M4:M13" si="0">(L4-1)*1000</f>
        <v>-1000</v>
      </c>
      <c r="N4" s="133">
        <f t="shared" ref="N4:N13" si="1">M4+$F$33</f>
        <v>-1000</v>
      </c>
      <c r="O4" s="136"/>
      <c r="P4" s="133">
        <f t="shared" ref="P4:P13" si="2">N4+O4</f>
        <v>-1000</v>
      </c>
      <c r="Q4" s="137"/>
      <c r="R4" s="133" t="e">
        <f t="shared" ref="R4:R13" si="3">$F$36*P4</f>
        <v>#DIV/0!</v>
      </c>
      <c r="S4" s="138" t="e">
        <f t="shared" ref="S4:S13" si="4">$G$24/100*R4</f>
        <v>#DIV/0!</v>
      </c>
    </row>
    <row r="5" spans="1:23" ht="20.100000000000001" customHeight="1" x14ac:dyDescent="0.2">
      <c r="A5" s="127" t="s">
        <v>27</v>
      </c>
      <c r="B5" s="127"/>
      <c r="C5" s="119"/>
      <c r="D5" s="122"/>
      <c r="E5" s="139" t="s">
        <v>4</v>
      </c>
      <c r="F5" s="140"/>
      <c r="G5" s="14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">
      <c r="A6" s="143" t="s">
        <v>28</v>
      </c>
      <c r="B6" s="144"/>
      <c r="C6" s="119" t="s">
        <v>91</v>
      </c>
      <c r="D6" s="145"/>
      <c r="E6" s="127" t="s">
        <v>92</v>
      </c>
      <c r="F6" s="146"/>
      <c r="G6" s="147">
        <v>531.20000000000005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171">
        <v>100</v>
      </c>
      <c r="I11" s="164"/>
      <c r="J11" s="142"/>
      <c r="K11" s="134"/>
      <c r="L11" s="136"/>
      <c r="M11" s="133"/>
      <c r="N11" s="133"/>
      <c r="O11" s="165"/>
      <c r="P11" s="133"/>
      <c r="Q11" s="137"/>
      <c r="R11" s="133"/>
      <c r="S11" s="138"/>
    </row>
    <row r="12" spans="1:23" ht="19.5" customHeight="1" x14ac:dyDescent="0.2">
      <c r="A12" s="877"/>
      <c r="B12" s="172">
        <v>40</v>
      </c>
      <c r="C12" s="173" t="s">
        <v>21</v>
      </c>
      <c r="D12" s="174">
        <v>70</v>
      </c>
      <c r="E12" s="175">
        <f>D12</f>
        <v>70</v>
      </c>
      <c r="F12" s="170">
        <f t="shared" si="5"/>
        <v>13.202565069784985</v>
      </c>
      <c r="G12" s="176">
        <f t="shared" ref="G12:G24" si="6">G11-F12</f>
        <v>86.797434930215019</v>
      </c>
      <c r="I12" s="164" t="s">
        <v>94</v>
      </c>
      <c r="J12" s="142">
        <v>360</v>
      </c>
      <c r="K12" s="177"/>
      <c r="L12" s="136"/>
      <c r="M12" s="133">
        <f t="shared" si="0"/>
        <v>-1000</v>
      </c>
      <c r="N12" s="133">
        <f t="shared" si="1"/>
        <v>-1000</v>
      </c>
      <c r="O12" s="165"/>
      <c r="P12" s="133">
        <f t="shared" si="2"/>
        <v>-1000</v>
      </c>
      <c r="Q12" s="137"/>
      <c r="R12" s="133" t="e">
        <f t="shared" si="3"/>
        <v>#DIV/0!</v>
      </c>
      <c r="S12" s="138" t="e">
        <f t="shared" si="4"/>
        <v>#DIV/0!</v>
      </c>
    </row>
    <row r="13" spans="1:23" ht="19.5" customHeight="1" thickBot="1" x14ac:dyDescent="0.25">
      <c r="A13" s="877"/>
      <c r="B13" s="178">
        <v>30</v>
      </c>
      <c r="C13" s="179" t="s">
        <v>21</v>
      </c>
      <c r="D13" s="180">
        <v>80.099999999999994</v>
      </c>
      <c r="E13" s="181">
        <f>D13</f>
        <v>80.099999999999994</v>
      </c>
      <c r="F13" s="170">
        <f t="shared" si="5"/>
        <v>15.107506601282534</v>
      </c>
      <c r="G13" s="182">
        <f t="shared" si="6"/>
        <v>71.689928328932481</v>
      </c>
      <c r="I13" s="183" t="s">
        <v>95</v>
      </c>
      <c r="J13" s="184">
        <v>1440</v>
      </c>
      <c r="K13" s="185"/>
      <c r="L13" s="186"/>
      <c r="M13" s="187">
        <f t="shared" si="0"/>
        <v>-1000</v>
      </c>
      <c r="N13" s="187">
        <f t="shared" si="1"/>
        <v>-1000</v>
      </c>
      <c r="O13" s="188"/>
      <c r="P13" s="187">
        <f t="shared" si="2"/>
        <v>-1000</v>
      </c>
      <c r="Q13" s="189"/>
      <c r="R13" s="187" t="e">
        <f t="shared" si="3"/>
        <v>#DIV/0!</v>
      </c>
      <c r="S13" s="190" t="e">
        <f t="shared" si="4"/>
        <v>#DIV/0!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18.3</v>
      </c>
      <c r="E14" s="181">
        <f>D14</f>
        <v>18.3</v>
      </c>
      <c r="F14" s="170">
        <f t="shared" si="5"/>
        <v>3.4515277253866468</v>
      </c>
      <c r="G14" s="182">
        <f t="shared" si="6"/>
        <v>68.238400603545841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39.799999999999997</v>
      </c>
      <c r="E15" s="175">
        <f>D15</f>
        <v>39.799999999999997</v>
      </c>
      <c r="F15" s="194">
        <f t="shared" si="5"/>
        <v>7.5066012825348913</v>
      </c>
      <c r="G15" s="195">
        <f t="shared" si="6"/>
        <v>60.731799321010953</v>
      </c>
      <c r="I15" s="196"/>
      <c r="J15" s="197"/>
      <c r="K15" s="197"/>
      <c r="L15" s="197"/>
      <c r="M15" s="197"/>
      <c r="N15" s="197"/>
      <c r="O15" s="197"/>
      <c r="P15" s="197"/>
      <c r="Q15" s="197"/>
      <c r="R15" s="197"/>
      <c r="S15" s="198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647.9</v>
      </c>
      <c r="E16" s="202">
        <f>D16-C16</f>
        <v>17.5</v>
      </c>
      <c r="F16" s="170">
        <f t="shared" si="5"/>
        <v>3.3006412674462462</v>
      </c>
      <c r="G16" s="176">
        <f t="shared" si="6"/>
        <v>57.431158053564708</v>
      </c>
      <c r="I16" s="203"/>
      <c r="J16" s="204"/>
      <c r="K16" s="204"/>
      <c r="L16" s="204"/>
      <c r="M16" s="204"/>
      <c r="N16" s="204"/>
      <c r="O16" s="204"/>
      <c r="P16" s="204"/>
      <c r="Q16" s="204"/>
      <c r="R16" s="204"/>
      <c r="S16" s="205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554.6</v>
      </c>
      <c r="E17" s="208">
        <f t="shared" ref="E17:E24" si="7">D17-C17</f>
        <v>35.300000000000068</v>
      </c>
      <c r="F17" s="170">
        <f t="shared" si="5"/>
        <v>6.6578649566201564</v>
      </c>
      <c r="G17" s="182">
        <f t="shared" si="6"/>
        <v>50.773293096944549</v>
      </c>
      <c r="I17" s="203"/>
      <c r="J17" s="204"/>
      <c r="K17" s="204"/>
      <c r="L17" s="204"/>
      <c r="M17" s="204"/>
      <c r="N17" s="204"/>
      <c r="O17" s="204"/>
      <c r="P17" s="204"/>
      <c r="Q17" s="204"/>
      <c r="R17" s="204"/>
      <c r="S17" s="205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536.6</v>
      </c>
      <c r="E18" s="209">
        <f t="shared" si="7"/>
        <v>30.400000000000034</v>
      </c>
      <c r="F18" s="170">
        <f t="shared" si="5"/>
        <v>5.7336854017352001</v>
      </c>
      <c r="G18" s="182">
        <f t="shared" si="6"/>
        <v>45.039607695209348</v>
      </c>
      <c r="I18" s="203"/>
      <c r="J18" s="204"/>
      <c r="K18" s="204"/>
      <c r="L18" s="204"/>
      <c r="M18" s="204"/>
      <c r="N18" s="204"/>
      <c r="O18" s="204"/>
      <c r="P18" s="204"/>
      <c r="Q18" s="204"/>
      <c r="R18" s="204"/>
      <c r="S18" s="205"/>
    </row>
    <row r="19" spans="1:26" ht="21.95" customHeight="1" x14ac:dyDescent="0.2">
      <c r="A19" s="877"/>
      <c r="B19" s="206">
        <v>1</v>
      </c>
      <c r="C19" s="179">
        <v>383.8</v>
      </c>
      <c r="D19" s="207">
        <v>411.3</v>
      </c>
      <c r="E19" s="208">
        <f t="shared" si="7"/>
        <v>27.5</v>
      </c>
      <c r="F19" s="170">
        <f t="shared" si="5"/>
        <v>5.1867219917012441</v>
      </c>
      <c r="G19" s="182">
        <f t="shared" si="6"/>
        <v>39.852885703508107</v>
      </c>
      <c r="I19" s="203"/>
      <c r="J19" s="204"/>
      <c r="K19" s="204"/>
      <c r="L19" s="204"/>
      <c r="M19" s="204"/>
      <c r="N19" s="204"/>
      <c r="O19" s="204"/>
      <c r="P19" s="204"/>
      <c r="Q19" s="204"/>
      <c r="R19" s="204"/>
      <c r="S19" s="205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417.3</v>
      </c>
      <c r="E20" s="209">
        <f t="shared" si="7"/>
        <v>41.100000000000023</v>
      </c>
      <c r="F20" s="170">
        <f t="shared" si="5"/>
        <v>7.7517917766880453</v>
      </c>
      <c r="G20" s="182">
        <f t="shared" si="6"/>
        <v>32.101093926820063</v>
      </c>
      <c r="I20" s="203"/>
      <c r="J20" s="204"/>
      <c r="K20" s="204"/>
      <c r="L20" s="204"/>
      <c r="M20" s="204"/>
      <c r="N20" s="204"/>
      <c r="O20" s="204"/>
      <c r="P20" s="204"/>
      <c r="Q20" s="204"/>
      <c r="R20" s="204"/>
      <c r="S20" s="205"/>
      <c r="V20" s="264" t="s">
        <v>107</v>
      </c>
      <c r="W20" s="266">
        <v>9.1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373.4</v>
      </c>
      <c r="E21" s="208">
        <f t="shared" si="7"/>
        <v>42.599999999999966</v>
      </c>
      <c r="F21" s="170">
        <f t="shared" si="5"/>
        <v>8.0347038853262838</v>
      </c>
      <c r="G21" s="182">
        <f t="shared" si="6"/>
        <v>24.066390041493779</v>
      </c>
      <c r="I21" s="203"/>
      <c r="J21" s="204"/>
      <c r="K21" s="204"/>
      <c r="L21" s="204"/>
      <c r="M21" s="204"/>
      <c r="N21" s="204"/>
      <c r="O21" s="204"/>
      <c r="P21" s="204"/>
      <c r="Q21" s="204"/>
      <c r="R21" s="204"/>
      <c r="S21" s="205"/>
      <c r="V21" s="264" t="s">
        <v>108</v>
      </c>
      <c r="W21" s="266">
        <v>9.8000000000000004E-2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374</v>
      </c>
      <c r="E22" s="209">
        <f t="shared" si="7"/>
        <v>47.899999999999977</v>
      </c>
      <c r="F22" s="170">
        <f t="shared" si="5"/>
        <v>9.0343266691814357</v>
      </c>
      <c r="G22" s="182">
        <f t="shared" si="6"/>
        <v>15.032063372312344</v>
      </c>
      <c r="I22" s="203"/>
      <c r="J22" s="204"/>
      <c r="K22" s="204"/>
      <c r="L22" s="204"/>
      <c r="M22" s="204"/>
      <c r="N22" s="204"/>
      <c r="O22" s="204"/>
      <c r="P22" s="204"/>
      <c r="Q22" s="204"/>
      <c r="R22" s="204"/>
      <c r="S22" s="205"/>
      <c r="U22" s="284" t="s">
        <v>119</v>
      </c>
      <c r="V22" s="285" t="s">
        <v>106</v>
      </c>
      <c r="W22" s="290">
        <f>W20/W21</f>
        <v>92.857142857142847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329.9</v>
      </c>
      <c r="E23" s="208">
        <f t="shared" si="7"/>
        <v>25.5</v>
      </c>
      <c r="F23" s="170">
        <f t="shared" si="5"/>
        <v>4.8095058468502447</v>
      </c>
      <c r="G23" s="211">
        <f t="shared" si="6"/>
        <v>10.222557525462099</v>
      </c>
      <c r="I23" s="203"/>
      <c r="J23" s="204"/>
      <c r="K23" s="204"/>
      <c r="L23" s="204"/>
      <c r="M23" s="204"/>
      <c r="N23" s="204"/>
      <c r="O23" s="204"/>
      <c r="P23" s="204"/>
      <c r="Q23" s="204"/>
      <c r="R23" s="204"/>
      <c r="S23" s="205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325</v>
      </c>
      <c r="E24" s="209">
        <f t="shared" si="7"/>
        <v>11.300000000000011</v>
      </c>
      <c r="F24" s="213">
        <f t="shared" si="5"/>
        <v>2.1312712184081497</v>
      </c>
      <c r="G24" s="214">
        <f t="shared" si="6"/>
        <v>8.0912863070539487</v>
      </c>
      <c r="I24" s="203"/>
      <c r="J24" s="204"/>
      <c r="K24" s="204"/>
      <c r="L24" s="204"/>
      <c r="M24" s="204"/>
      <c r="N24" s="204"/>
      <c r="O24" s="204"/>
      <c r="P24" s="204"/>
      <c r="Q24" s="204"/>
      <c r="R24" s="204"/>
      <c r="S24" s="205"/>
      <c r="V24" s="269" t="s">
        <v>111</v>
      </c>
      <c r="W24" s="270">
        <f>0.0116*(W21*W21)*(0.7+0.03*W19)</f>
        <v>1.1474859199999999E-4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f>373.3</f>
        <v>373.3</v>
      </c>
      <c r="E25" s="218">
        <f>D25-C25+(G6-C26)</f>
        <v>42.900000000000034</v>
      </c>
      <c r="F25" s="170">
        <f t="shared" si="5"/>
        <v>8.0912863070539487</v>
      </c>
      <c r="G25" s="176">
        <f>G24-F25</f>
        <v>0</v>
      </c>
      <c r="I25" s="203"/>
      <c r="J25" s="204"/>
      <c r="K25" s="204"/>
      <c r="L25" s="204"/>
      <c r="M25" s="204"/>
      <c r="N25" s="204"/>
      <c r="O25" s="204"/>
      <c r="P25" s="204"/>
      <c r="Q25" s="204"/>
      <c r="R25" s="204"/>
      <c r="S25" s="205"/>
      <c r="V25" s="265"/>
      <c r="W25" s="268"/>
    </row>
    <row r="26" spans="1:26" ht="21.95" customHeight="1" x14ac:dyDescent="0.2">
      <c r="A26" s="880" t="s">
        <v>40</v>
      </c>
      <c r="B26" s="993"/>
      <c r="C26" s="219">
        <v>494.1</v>
      </c>
      <c r="D26" s="220" t="s">
        <v>19</v>
      </c>
      <c r="E26" s="221">
        <f>SUM(E12:E25)</f>
        <v>530.20000000000005</v>
      </c>
      <c r="F26" s="222">
        <f>SUM(F12:F25)</f>
        <v>100.00000000000001</v>
      </c>
      <c r="G26" s="223" t="s">
        <v>20</v>
      </c>
      <c r="I26" s="203"/>
      <c r="J26" s="204"/>
      <c r="K26" s="204"/>
      <c r="L26" s="204"/>
      <c r="M26" s="204"/>
      <c r="N26" s="204"/>
      <c r="O26" s="204"/>
      <c r="P26" s="204"/>
      <c r="Q26" s="204"/>
      <c r="R26" s="204"/>
      <c r="S26" s="205"/>
      <c r="V26" s="271" t="s">
        <v>110</v>
      </c>
      <c r="W26" s="272">
        <v>1.16E-3</v>
      </c>
      <c r="X26" s="273"/>
    </row>
    <row r="27" spans="1:26" ht="21.95" customHeight="1" thickBot="1" x14ac:dyDescent="0.3">
      <c r="A27" s="224"/>
      <c r="B27" s="225"/>
      <c r="C27" s="226" t="s">
        <v>21</v>
      </c>
      <c r="D27" s="227" t="s">
        <v>22</v>
      </c>
      <c r="E27" s="228">
        <f>G6-E26</f>
        <v>1</v>
      </c>
      <c r="F27" s="229">
        <f>IF((E27/G6*100)&gt;1,"Fehler zu groß",(E27/G6*100))</f>
        <v>0.18825301204819275</v>
      </c>
      <c r="G27" s="230" t="s">
        <v>20</v>
      </c>
      <c r="I27" s="203"/>
      <c r="J27" s="204"/>
      <c r="K27" s="204"/>
      <c r="L27" s="204"/>
      <c r="M27" s="204"/>
      <c r="N27" s="204"/>
      <c r="O27" s="204"/>
      <c r="P27" s="204"/>
      <c r="Q27" s="204"/>
      <c r="R27" s="204"/>
      <c r="S27" s="205"/>
      <c r="V27" s="274" t="s">
        <v>112</v>
      </c>
      <c r="W27" s="275">
        <f>W26*(W21*W21)*(0.7+0.003*W19)</f>
        <v>8.1660891200000008E-6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3"/>
      <c r="J28" s="204"/>
      <c r="K28" s="204"/>
      <c r="L28" s="204"/>
      <c r="M28" s="204"/>
      <c r="N28" s="204"/>
      <c r="O28" s="204"/>
      <c r="P28" s="204"/>
      <c r="Q28" s="204"/>
      <c r="R28" s="204"/>
      <c r="S28" s="205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3"/>
      <c r="J29" s="204"/>
      <c r="K29" s="204"/>
      <c r="L29" s="204"/>
      <c r="M29" s="204"/>
      <c r="N29" s="204"/>
      <c r="O29" s="204"/>
      <c r="P29" s="204"/>
      <c r="Q29" s="204"/>
      <c r="R29" s="204"/>
      <c r="S29" s="205"/>
      <c r="V29" s="277" t="s">
        <v>120</v>
      </c>
      <c r="W29" s="287">
        <v>5.5999999999999999E-5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3"/>
      <c r="J30" s="235"/>
      <c r="K30" s="235"/>
      <c r="L30" s="235"/>
      <c r="M30" s="235"/>
      <c r="N30" s="204"/>
      <c r="O30" s="204"/>
      <c r="P30" s="204"/>
      <c r="Q30" s="204"/>
      <c r="R30" s="204"/>
      <c r="S30" s="205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I31" s="236"/>
      <c r="J31" s="237"/>
      <c r="K31" s="237"/>
      <c r="L31" s="237"/>
      <c r="M31" s="204"/>
      <c r="N31" s="204"/>
      <c r="O31" s="204"/>
      <c r="P31" s="204"/>
      <c r="Q31" s="204"/>
      <c r="R31" s="204"/>
      <c r="S31" s="205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242" t="s">
        <v>97</v>
      </c>
      <c r="I32" s="236"/>
      <c r="J32" s="237"/>
      <c r="K32" s="243"/>
      <c r="L32" s="243"/>
      <c r="M32" s="204"/>
      <c r="N32" s="204"/>
      <c r="O32" s="204"/>
      <c r="P32" s="204"/>
      <c r="Q32" s="204"/>
      <c r="R32" s="204"/>
      <c r="S32" s="205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245" t="s">
        <v>5</v>
      </c>
      <c r="I33" s="246"/>
      <c r="J33" s="243"/>
      <c r="K33" s="243"/>
      <c r="L33" s="247"/>
      <c r="M33" s="204"/>
      <c r="N33" s="204"/>
      <c r="O33" s="204"/>
      <c r="P33" s="204"/>
      <c r="Q33" s="204"/>
      <c r="R33" s="204"/>
      <c r="S33" s="205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245" t="s">
        <v>6</v>
      </c>
      <c r="I34" s="246"/>
      <c r="J34" s="243"/>
      <c r="K34" s="243"/>
      <c r="L34" s="247"/>
      <c r="M34" s="204"/>
      <c r="N34" s="204"/>
      <c r="O34" s="204"/>
      <c r="P34" s="204"/>
      <c r="Q34" s="204"/>
      <c r="R34" s="204"/>
      <c r="S34" s="205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246"/>
      <c r="J35" s="243"/>
      <c r="K35" s="243"/>
      <c r="L35" s="247"/>
      <c r="M35" s="204"/>
      <c r="N35" s="204"/>
      <c r="O35" s="204"/>
      <c r="P35" s="204"/>
      <c r="Q35" s="204"/>
      <c r="R35" s="204"/>
      <c r="S35" s="205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52"/>
      <c r="J36" s="253"/>
      <c r="K36" s="253"/>
      <c r="L36" s="253"/>
      <c r="M36" s="253"/>
      <c r="N36" s="253"/>
      <c r="O36" s="253"/>
      <c r="P36" s="253"/>
      <c r="Q36" s="253"/>
      <c r="R36" s="253"/>
      <c r="S36" s="254"/>
      <c r="V36" s="267">
        <f>(W24+W29)/2</f>
        <v>8.5374295999999996E-5</v>
      </c>
      <c r="W36" s="839">
        <v>2.7680000000000001E-4</v>
      </c>
    </row>
  </sheetData>
  <sheetProtection selectLockedCells="1"/>
  <protectedRanges>
    <protectedRange password="C4F2" sqref="C3:D6 F3:G5 G6 F32:F35 K4:L13 O4:O13 Q4:Q13 D11:D25" name="Bereich1"/>
  </protectedRanges>
  <mergeCells count="17">
    <mergeCell ref="P1:P2"/>
    <mergeCell ref="Q1:Q2"/>
    <mergeCell ref="R1:R2"/>
    <mergeCell ref="S1:S2"/>
    <mergeCell ref="E8:F8"/>
    <mergeCell ref="G8:G9"/>
    <mergeCell ref="A1:G1"/>
    <mergeCell ref="I1:J2"/>
    <mergeCell ref="K1:K2"/>
    <mergeCell ref="L1:L2"/>
    <mergeCell ref="M1:M2"/>
    <mergeCell ref="N1:N2"/>
    <mergeCell ref="A11:A15"/>
    <mergeCell ref="A16:A24"/>
    <mergeCell ref="A26:B26"/>
    <mergeCell ref="A29:G29"/>
    <mergeCell ref="O1:O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1"/>
  <dimension ref="A1:AE36"/>
  <sheetViews>
    <sheetView topLeftCell="R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124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4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20</v>
      </c>
      <c r="L4" s="604">
        <v>1.01</v>
      </c>
      <c r="M4" s="602">
        <f t="shared" ref="M4:M10" si="0">(L4-1)*1000</f>
        <v>10.000000000000009</v>
      </c>
      <c r="N4" s="602">
        <f>M4+$G$33</f>
        <v>11.499999999999954</v>
      </c>
      <c r="O4" s="605">
        <v>0</v>
      </c>
      <c r="P4" s="606">
        <f t="shared" ref="P4:P10" si="1">N4+O4</f>
        <v>11.499999999999954</v>
      </c>
      <c r="Q4" s="607">
        <f>((18.35*V4/($F$34-W4))*Z4)^0.5</f>
        <v>7.7048929259696183E-2</v>
      </c>
      <c r="R4" s="602">
        <f t="shared" ref="R4:R10" si="2">$F$36*P4</f>
        <v>88.118783252370676</v>
      </c>
      <c r="S4" s="608">
        <f t="shared" ref="S4:S10" si="3">$G$24/100*R4</f>
        <v>19.521611729279655</v>
      </c>
      <c r="T4" s="828">
        <f>(S4/S$13)*S$4</f>
        <v>4.6868170122488202</v>
      </c>
      <c r="U4" s="609">
        <f>1+0.001*N4</f>
        <v>1.0114999999999998</v>
      </c>
      <c r="V4" s="610">
        <f>0.00178/(1+0.0337*K4+0.00022*K4^2)</f>
        <v>1.0102156640181611E-3</v>
      </c>
      <c r="W4" s="609">
        <f>1/(1+((2.31*K4-2)^2-182)*0.00001)</f>
        <v>0.98259200696775639</v>
      </c>
      <c r="X4" s="611">
        <f>4142.8*(1.03-U4)/10</f>
        <v>7.6641800000000755</v>
      </c>
      <c r="Y4" s="612">
        <f t="shared" ref="Y4:Y12" si="4">X4+$AB$5+0.5*($AC$5-$AD$5/$AE$5)</f>
        <v>16.019397665612352</v>
      </c>
      <c r="Z4" s="613">
        <f t="shared" ref="Z4:Z12" si="5">Y4/I4</f>
        <v>0.53397992218707846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20</v>
      </c>
      <c r="L5" s="604">
        <v>1.0085</v>
      </c>
      <c r="M5" s="602">
        <f t="shared" si="0"/>
        <v>8.499999999999952</v>
      </c>
      <c r="N5" s="602">
        <f t="shared" ref="N5:N12" si="6">M5+$G$33</f>
        <v>9.999999999999897</v>
      </c>
      <c r="O5" s="605">
        <v>0</v>
      </c>
      <c r="P5" s="606">
        <f t="shared" si="1"/>
        <v>9.999999999999897</v>
      </c>
      <c r="Q5" s="607">
        <f t="shared" ref="Q5:Q11" si="7">((18.35*V5/($F$34-W5))*Z5)^0.5</f>
        <v>5.5528488205079989E-2</v>
      </c>
      <c r="R5" s="602">
        <f t="shared" si="2"/>
        <v>76.625028915104465</v>
      </c>
      <c r="S5" s="608">
        <f t="shared" si="3"/>
        <v>16.975314547199595</v>
      </c>
      <c r="T5" s="828">
        <f t="shared" ref="T5:T12" si="8">(S5/S$13)*S$4</f>
        <v>4.0754930541293835</v>
      </c>
      <c r="U5" s="609">
        <f t="shared" ref="U5:U12" si="9">1+0.001*N5</f>
        <v>1.0099999999999998</v>
      </c>
      <c r="V5" s="610">
        <f t="shared" ref="V5:V12" si="10">0.00178/(1+0.0337*K5+0.00022*K5^2)</f>
        <v>1.0102156640181611E-3</v>
      </c>
      <c r="W5" s="609">
        <f t="shared" ref="W5:W12" si="11">1/(1+((2.31*K5-2)^2-182)*0.00001)</f>
        <v>0.98259200696775639</v>
      </c>
      <c r="X5" s="611">
        <f t="shared" ref="X5:X12" si="12">4142.8*(1.03-U5)/10</f>
        <v>8.2856000000001</v>
      </c>
      <c r="Y5" s="612">
        <f t="shared" si="4"/>
        <v>16.640817665612374</v>
      </c>
      <c r="Z5" s="613">
        <f t="shared" si="5"/>
        <v>0.27734696109353957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27.154670260568732</v>
      </c>
    </row>
    <row r="6" spans="1:31" ht="20.100000000000001" customHeight="1" x14ac:dyDescent="0.35">
      <c r="A6" s="626" t="s">
        <v>28</v>
      </c>
      <c r="B6" s="627"/>
      <c r="C6" s="616">
        <v>10</v>
      </c>
      <c r="D6" s="628"/>
      <c r="E6" s="596" t="s">
        <v>41</v>
      </c>
      <c r="F6" s="629"/>
      <c r="G6" s="630">
        <v>612.4</v>
      </c>
      <c r="I6" s="601">
        <f t="shared" ref="I6:I12" si="13">J6*60</f>
        <v>120</v>
      </c>
      <c r="J6" s="621">
        <v>2</v>
      </c>
      <c r="K6" s="603">
        <v>20</v>
      </c>
      <c r="L6" s="604">
        <v>1.0075000000000001</v>
      </c>
      <c r="M6" s="602">
        <f t="shared" si="0"/>
        <v>7.5000000000000622</v>
      </c>
      <c r="N6" s="602">
        <f t="shared" si="6"/>
        <v>9.0000000000000071</v>
      </c>
      <c r="O6" s="605">
        <v>0</v>
      </c>
      <c r="P6" s="606">
        <f t="shared" si="1"/>
        <v>9.0000000000000071</v>
      </c>
      <c r="Q6" s="607">
        <f t="shared" si="7"/>
        <v>3.975031972962155E-2</v>
      </c>
      <c r="R6" s="602">
        <f t="shared" si="2"/>
        <v>68.962526023594776</v>
      </c>
      <c r="S6" s="608">
        <f t="shared" si="3"/>
        <v>15.277783092479805</v>
      </c>
      <c r="T6" s="828">
        <f t="shared" si="8"/>
        <v>3.6679437487164863</v>
      </c>
      <c r="U6" s="609">
        <f t="shared" si="9"/>
        <v>1.0089999999999999</v>
      </c>
      <c r="V6" s="610">
        <f t="shared" si="10"/>
        <v>1.0102156640181611E-3</v>
      </c>
      <c r="W6" s="609">
        <f t="shared" si="11"/>
        <v>0.98259200696775639</v>
      </c>
      <c r="X6" s="611">
        <f t="shared" si="12"/>
        <v>8.6998800000000536</v>
      </c>
      <c r="Y6" s="612">
        <f t="shared" si="4"/>
        <v>17.05509766561233</v>
      </c>
      <c r="Z6" s="613">
        <f t="shared" si="5"/>
        <v>0.14212581388010276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20</v>
      </c>
      <c r="L7" s="604">
        <v>1.0049999999999999</v>
      </c>
      <c r="M7" s="602">
        <f t="shared" si="0"/>
        <v>4.9999999999998934</v>
      </c>
      <c r="N7" s="602">
        <f t="shared" si="6"/>
        <v>6.4999999999998392</v>
      </c>
      <c r="O7" s="605">
        <v>0</v>
      </c>
      <c r="P7" s="606">
        <f t="shared" si="1"/>
        <v>6.4999999999998392</v>
      </c>
      <c r="Q7" s="607">
        <f t="shared" si="7"/>
        <v>2.5892403999612422E-2</v>
      </c>
      <c r="R7" s="602">
        <f t="shared" si="2"/>
        <v>49.806268794817179</v>
      </c>
      <c r="S7" s="608">
        <f t="shared" si="3"/>
        <v>11.033954455679577</v>
      </c>
      <c r="T7" s="828">
        <f t="shared" si="8"/>
        <v>2.6490704851840614</v>
      </c>
      <c r="U7" s="609">
        <f t="shared" si="9"/>
        <v>1.0065</v>
      </c>
      <c r="V7" s="610">
        <f t="shared" si="10"/>
        <v>1.0102156640181611E-3</v>
      </c>
      <c r="W7" s="609">
        <f t="shared" si="11"/>
        <v>0.98259200696775639</v>
      </c>
      <c r="X7" s="611">
        <f t="shared" si="12"/>
        <v>9.7355800000000308</v>
      </c>
      <c r="Y7" s="612">
        <f t="shared" si="4"/>
        <v>18.090797665612307</v>
      </c>
      <c r="Z7" s="613">
        <f t="shared" si="5"/>
        <v>6.0302658885374359E-2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20</v>
      </c>
      <c r="L8" s="604">
        <v>1.0029999999999999</v>
      </c>
      <c r="M8" s="602">
        <f t="shared" si="0"/>
        <v>2.9999999999998916</v>
      </c>
      <c r="N8" s="602">
        <f t="shared" si="6"/>
        <v>4.4999999999998375</v>
      </c>
      <c r="O8" s="605">
        <v>0</v>
      </c>
      <c r="P8" s="606">
        <f t="shared" si="1"/>
        <v>4.4999999999998375</v>
      </c>
      <c r="Q8" s="607">
        <f t="shared" si="7"/>
        <v>1.52874863731548E-2</v>
      </c>
      <c r="R8" s="602">
        <f t="shared" si="2"/>
        <v>34.481263011796116</v>
      </c>
      <c r="S8" s="608">
        <f t="shared" si="3"/>
        <v>7.6388915462396207</v>
      </c>
      <c r="T8" s="828">
        <f t="shared" si="8"/>
        <v>1.8339718743581754</v>
      </c>
      <c r="U8" s="609">
        <f t="shared" si="9"/>
        <v>1.0044999999999997</v>
      </c>
      <c r="V8" s="610">
        <f t="shared" si="10"/>
        <v>1.0102156640181611E-3</v>
      </c>
      <c r="W8" s="609">
        <f t="shared" si="11"/>
        <v>0.98259200696775639</v>
      </c>
      <c r="X8" s="611">
        <f t="shared" si="12"/>
        <v>10.564140000000126</v>
      </c>
      <c r="Y8" s="612">
        <f t="shared" si="4"/>
        <v>18.919357665612402</v>
      </c>
      <c r="Z8" s="613">
        <f t="shared" si="5"/>
        <v>2.1021508517347114E-2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20</v>
      </c>
      <c r="L9" s="604">
        <v>1.0015000000000001</v>
      </c>
      <c r="M9" s="602">
        <f t="shared" si="0"/>
        <v>1.5000000000000568</v>
      </c>
      <c r="N9" s="602">
        <f t="shared" si="6"/>
        <v>3.0000000000000027</v>
      </c>
      <c r="O9" s="605">
        <v>0</v>
      </c>
      <c r="P9" s="606">
        <f t="shared" si="1"/>
        <v>3.0000000000000027</v>
      </c>
      <c r="Q9" s="607">
        <f t="shared" si="7"/>
        <v>8.9700152934958748E-3</v>
      </c>
      <c r="R9" s="602">
        <f t="shared" si="2"/>
        <v>22.987508674531593</v>
      </c>
      <c r="S9" s="608">
        <f t="shared" si="3"/>
        <v>5.0925943641599352</v>
      </c>
      <c r="T9" s="828">
        <f t="shared" si="8"/>
        <v>1.2226479162388288</v>
      </c>
      <c r="U9" s="609">
        <f t="shared" si="9"/>
        <v>1.0030000000000001</v>
      </c>
      <c r="V9" s="610">
        <f t="shared" si="10"/>
        <v>1.0102156640181611E-3</v>
      </c>
      <c r="W9" s="609">
        <f t="shared" si="11"/>
        <v>0.98259200696775639</v>
      </c>
      <c r="X9" s="611">
        <f t="shared" si="12"/>
        <v>11.185559999999963</v>
      </c>
      <c r="Y9" s="612">
        <f t="shared" si="4"/>
        <v>19.540777665612239</v>
      </c>
      <c r="Z9" s="613">
        <f t="shared" si="5"/>
        <v>7.2373250613378664E-3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20</v>
      </c>
      <c r="L10" s="604">
        <v>1.0004999999999999</v>
      </c>
      <c r="M10" s="602">
        <f t="shared" si="0"/>
        <v>0.49999999999994493</v>
      </c>
      <c r="N10" s="602">
        <f t="shared" si="6"/>
        <v>1.9999999999998908</v>
      </c>
      <c r="O10" s="605">
        <v>0</v>
      </c>
      <c r="P10" s="606">
        <f t="shared" si="1"/>
        <v>1.9999999999998908</v>
      </c>
      <c r="Q10" s="607">
        <f t="shared" si="7"/>
        <v>5.5509125986351352E-3</v>
      </c>
      <c r="R10" s="602">
        <f t="shared" si="2"/>
        <v>15.325005783020213</v>
      </c>
      <c r="S10" s="608">
        <f t="shared" si="3"/>
        <v>3.3950629094397686</v>
      </c>
      <c r="T10" s="828">
        <f t="shared" si="8"/>
        <v>0.81509861082584079</v>
      </c>
      <c r="U10" s="609">
        <f t="shared" si="9"/>
        <v>1.0019999999999998</v>
      </c>
      <c r="V10" s="610">
        <f t="shared" si="10"/>
        <v>1.0102156640181611E-3</v>
      </c>
      <c r="W10" s="609">
        <f t="shared" si="11"/>
        <v>0.98259200696775639</v>
      </c>
      <c r="X10" s="611">
        <f t="shared" si="12"/>
        <v>11.599840000000103</v>
      </c>
      <c r="Y10" s="612">
        <f t="shared" si="4"/>
        <v>19.955057665612379</v>
      </c>
      <c r="Z10" s="613">
        <f t="shared" si="5"/>
        <v>2.7715357868906081E-3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20</v>
      </c>
      <c r="L11" s="604">
        <v>0.99929999999999997</v>
      </c>
      <c r="M11" s="602">
        <f>(L11-1)*1000</f>
        <v>-0.70000000000003393</v>
      </c>
      <c r="N11" s="602">
        <f t="shared" si="6"/>
        <v>0.79999999999991189</v>
      </c>
      <c r="O11" s="605">
        <v>0</v>
      </c>
      <c r="P11" s="606">
        <f>N11+O11</f>
        <v>0.79999999999991189</v>
      </c>
      <c r="Q11" s="607">
        <f t="shared" si="7"/>
        <v>3.2444958019396475E-3</v>
      </c>
      <c r="R11" s="602">
        <f>$F$36*P11</f>
        <v>6.1300023132077444</v>
      </c>
      <c r="S11" s="608">
        <f>$G$24/100*R11</f>
        <v>1.358025163775832</v>
      </c>
      <c r="T11" s="828">
        <f t="shared" si="8"/>
        <v>0.32603944433031817</v>
      </c>
      <c r="U11" s="609">
        <f t="shared" si="9"/>
        <v>1.0007999999999999</v>
      </c>
      <c r="V11" s="610">
        <f t="shared" si="10"/>
        <v>1.0102156640181611E-3</v>
      </c>
      <c r="W11" s="609">
        <f t="shared" si="11"/>
        <v>0.98259200696775639</v>
      </c>
      <c r="X11" s="611">
        <f t="shared" si="12"/>
        <v>12.096976000000048</v>
      </c>
      <c r="Y11" s="612">
        <f t="shared" si="4"/>
        <v>20.452193665612324</v>
      </c>
      <c r="Z11" s="613">
        <f t="shared" si="5"/>
        <v>9.4686081785242239E-4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725">
        <v>20</v>
      </c>
      <c r="L12" s="660">
        <v>0.99909999999999999</v>
      </c>
      <c r="M12" s="661">
        <f>(L12-1)*1000</f>
        <v>-0.9000000000000119</v>
      </c>
      <c r="N12" s="661">
        <f t="shared" si="6"/>
        <v>0.59999999999993392</v>
      </c>
      <c r="O12" s="605">
        <v>0</v>
      </c>
      <c r="P12" s="662">
        <f>N12+O12</f>
        <v>0.59999999999993392</v>
      </c>
      <c r="Q12" s="663">
        <f>((18.35*V12/($F$34-W12))*Z12)^0.5</f>
        <v>1.6255306078460693E-3</v>
      </c>
      <c r="R12" s="661">
        <f>$F$36*P12</f>
        <v>4.5975017349058085</v>
      </c>
      <c r="S12" s="664">
        <f>$G$24/100*R12</f>
        <v>1.0185188728318739</v>
      </c>
      <c r="T12" s="828">
        <f t="shared" si="8"/>
        <v>0.2445295832477386</v>
      </c>
      <c r="U12" s="609">
        <f t="shared" si="9"/>
        <v>1.0005999999999999</v>
      </c>
      <c r="V12" s="610">
        <f t="shared" si="10"/>
        <v>1.0102156640181611E-3</v>
      </c>
      <c r="W12" s="609">
        <f t="shared" si="11"/>
        <v>0.98259200696775639</v>
      </c>
      <c r="X12" s="611">
        <f t="shared" si="12"/>
        <v>12.179832000000038</v>
      </c>
      <c r="Y12" s="612">
        <f t="shared" si="4"/>
        <v>20.535049665612313</v>
      </c>
      <c r="Z12" s="613">
        <f t="shared" si="5"/>
        <v>2.3767418594458696E-4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81.311756681085669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0</v>
      </c>
      <c r="E14" s="668">
        <f>D14</f>
        <v>0</v>
      </c>
      <c r="F14" s="651">
        <f t="shared" si="14"/>
        <v>0</v>
      </c>
      <c r="G14" s="669">
        <f t="shared" si="15"/>
        <v>100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58.9</v>
      </c>
      <c r="E15" s="656">
        <f>D15</f>
        <v>58.9</v>
      </c>
      <c r="F15" s="673">
        <f t="shared" si="14"/>
        <v>9.5523840415179997</v>
      </c>
      <c r="G15" s="674">
        <f t="shared" si="15"/>
        <v>90.447615958482004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645.9</v>
      </c>
      <c r="E16" s="678">
        <f>D16-C16</f>
        <v>15.5</v>
      </c>
      <c r="F16" s="651">
        <f t="shared" si="14"/>
        <v>2.5137852740836841</v>
      </c>
      <c r="G16" s="657">
        <f t="shared" si="15"/>
        <v>87.933830684398316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559.9</v>
      </c>
      <c r="E17" s="681">
        <f t="shared" ref="E17:E24" si="16">D17-C17</f>
        <v>40.600000000000023</v>
      </c>
      <c r="F17" s="651">
        <f t="shared" si="14"/>
        <v>6.5844956211482337</v>
      </c>
      <c r="G17" s="669">
        <f t="shared" si="15"/>
        <v>81.349335063250081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557.6</v>
      </c>
      <c r="E18" s="682">
        <f t="shared" si="16"/>
        <v>51.400000000000034</v>
      </c>
      <c r="F18" s="651">
        <f t="shared" si="14"/>
        <v>8.3360363282517067</v>
      </c>
      <c r="G18" s="669">
        <f t="shared" si="15"/>
        <v>73.013298734998372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423.3</v>
      </c>
      <c r="E19" s="681">
        <f t="shared" si="16"/>
        <v>39.5</v>
      </c>
      <c r="F19" s="651">
        <f t="shared" si="14"/>
        <v>6.4060979565358407</v>
      </c>
      <c r="G19" s="669">
        <f t="shared" si="15"/>
        <v>66.607200778462527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417.6</v>
      </c>
      <c r="E20" s="682">
        <f t="shared" si="16"/>
        <v>41.400000000000034</v>
      </c>
      <c r="F20" s="651">
        <f t="shared" si="14"/>
        <v>6.7142393772299744</v>
      </c>
      <c r="G20" s="669">
        <f t="shared" si="15"/>
        <v>59.892961401232554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0.62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382.9</v>
      </c>
      <c r="E21" s="681">
        <f t="shared" si="16"/>
        <v>52.099999999999966</v>
      </c>
      <c r="F21" s="651">
        <f t="shared" si="14"/>
        <v>8.4495621148232161</v>
      </c>
      <c r="G21" s="669">
        <f t="shared" si="15"/>
        <v>51.443399286409338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2.1000000000000001E-2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438.1</v>
      </c>
      <c r="E22" s="682">
        <f t="shared" si="16"/>
        <v>112</v>
      </c>
      <c r="F22" s="651">
        <f t="shared" si="14"/>
        <v>18.164125851443394</v>
      </c>
      <c r="G22" s="669">
        <f t="shared" si="15"/>
        <v>33.279273434965944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29.523809523809522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342</v>
      </c>
      <c r="E23" s="681">
        <f t="shared" si="16"/>
        <v>37.600000000000023</v>
      </c>
      <c r="F23" s="651">
        <f t="shared" si="14"/>
        <v>6.0979565358417149</v>
      </c>
      <c r="G23" s="684">
        <f t="shared" si="15"/>
        <v>27.18131689912423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344.7</v>
      </c>
      <c r="E24" s="682">
        <f t="shared" si="16"/>
        <v>31</v>
      </c>
      <c r="F24" s="686">
        <f t="shared" si="14"/>
        <v>5.0275705481673683</v>
      </c>
      <c r="G24" s="687">
        <f t="shared" si="15"/>
        <v>22.153746350956862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5.2690679999999984E-6</v>
      </c>
    </row>
    <row r="25" spans="1:26" ht="21.95" customHeight="1" thickBot="1" x14ac:dyDescent="0.3">
      <c r="A25" s="826"/>
      <c r="B25" s="670" t="s">
        <v>14</v>
      </c>
      <c r="C25" s="689">
        <v>367.5</v>
      </c>
      <c r="D25" s="690">
        <v>370</v>
      </c>
      <c r="E25" s="691">
        <f>D25-C25+(G6-C26)</f>
        <v>136.59999999999997</v>
      </c>
      <c r="F25" s="651">
        <f t="shared" si="14"/>
        <v>22.153746350956848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478.3</v>
      </c>
      <c r="D26" s="693" t="s">
        <v>19</v>
      </c>
      <c r="E26" s="694">
        <f>SUM(E12:E25)</f>
        <v>616.60000000000014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-4.2000000000001592</v>
      </c>
      <c r="F27" s="700">
        <f>IF((E27/G6*100)&gt;1,"Fehler zu groß",(E27/G6*100))</f>
        <v>-0.68582625734816449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3.7497348000000005E-7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825" t="s">
        <v>80</v>
      </c>
      <c r="B32" s="713"/>
      <c r="C32" s="713"/>
      <c r="D32" s="713"/>
      <c r="E32" s="714"/>
      <c r="F32" s="715">
        <v>5.88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25" t="s">
        <v>45</v>
      </c>
      <c r="B33" s="82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82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825" t="s">
        <v>36</v>
      </c>
      <c r="B35" s="713"/>
      <c r="C35" s="713"/>
      <c r="D35" s="713"/>
      <c r="E35" s="714"/>
      <c r="F35" s="715">
        <v>20.96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335</v>
      </c>
      <c r="X35" s="530" t="s">
        <v>336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7.6625028915105249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5.2690679999999984E-6</v>
      </c>
      <c r="W36" s="838">
        <v>4.9740000000000001E-6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2"/>
  <dimension ref="A1:AE36"/>
  <sheetViews>
    <sheetView topLeftCell="S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125</v>
      </c>
      <c r="D3" s="580" t="s">
        <v>25</v>
      </c>
      <c r="E3" s="582">
        <v>39876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4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21</v>
      </c>
      <c r="L4" s="604">
        <v>1.016</v>
      </c>
      <c r="M4" s="602">
        <f t="shared" ref="M4:M10" si="0">(L4-1)*1000</f>
        <v>16.000000000000014</v>
      </c>
      <c r="N4" s="602">
        <f>M4+$G$33</f>
        <v>17.499999999999961</v>
      </c>
      <c r="O4" s="605">
        <v>0.18</v>
      </c>
      <c r="P4" s="606">
        <f t="shared" ref="P4:P10" si="1">N4+O4</f>
        <v>17.679999999999961</v>
      </c>
      <c r="Q4" s="607">
        <f>((18.35*V4/($F$34-W4))*Z4)^0.5</f>
        <v>7.2616882758910872E-2</v>
      </c>
      <c r="R4" s="602">
        <f t="shared" ref="R4:R10" si="2">$F$36*P4</f>
        <v>98.972295277627921</v>
      </c>
      <c r="S4" s="608">
        <f t="shared" ref="S4:S10" si="3">$G$24/100*R4</f>
        <v>24.370903197482509</v>
      </c>
      <c r="T4" s="828">
        <f>(S4/S$13)*S$4</f>
        <v>6.5662537112388337</v>
      </c>
      <c r="U4" s="609">
        <f>1+0.001*N4</f>
        <v>1.0175000000000001</v>
      </c>
      <c r="V4" s="610">
        <f>0.00178/(1+0.0337*K4+0.00022*K4^2)</f>
        <v>9.863025843344119E-4</v>
      </c>
      <c r="W4" s="609">
        <f>1/(1+((2.31*K4-2)^2-182)*0.00001)</f>
        <v>0.98057308124835096</v>
      </c>
      <c r="X4" s="611">
        <f>4142.8*(1.03-U4)/10</f>
        <v>5.1784999999999819</v>
      </c>
      <c r="Y4" s="612">
        <f t="shared" ref="Y4:Y12" si="4">X4+$AB$5+0.5*($AC$5-$AD$5/$AE$5)</f>
        <v>14.592094412328869</v>
      </c>
      <c r="Z4" s="613">
        <f t="shared" ref="Z4:Z12" si="5">Y4/I4</f>
        <v>0.48640314707762899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21</v>
      </c>
      <c r="L5" s="604">
        <v>1.0145</v>
      </c>
      <c r="M5" s="602">
        <f t="shared" si="0"/>
        <v>14.499999999999957</v>
      </c>
      <c r="N5" s="602">
        <f t="shared" ref="N5:N12" si="6">M5+$G$33</f>
        <v>15.999999999999904</v>
      </c>
      <c r="O5" s="605">
        <v>0.18</v>
      </c>
      <c r="P5" s="606">
        <f t="shared" si="1"/>
        <v>16.179999999999904</v>
      </c>
      <c r="Q5" s="607">
        <f t="shared" ref="Q5:Q12" si="7">((18.35*V5/($F$34-W5))*Z5)^0.5</f>
        <v>5.2429843787478184E-2</v>
      </c>
      <c r="R5" s="602">
        <f t="shared" si="2"/>
        <v>90.575324524435175</v>
      </c>
      <c r="S5" s="608">
        <f t="shared" si="3"/>
        <v>22.303236070999183</v>
      </c>
      <c r="T5" s="828">
        <f t="shared" ref="T5:T12" si="8">(S5/S$13)*S$4</f>
        <v>6.0091620502174186</v>
      </c>
      <c r="U5" s="609">
        <f t="shared" ref="U5:U12" si="9">1+0.001*N5</f>
        <v>1.016</v>
      </c>
      <c r="V5" s="610">
        <f t="shared" ref="V5:V12" si="10">0.00178/(1+0.0337*K5+0.00022*K5^2)</f>
        <v>9.863025843344119E-4</v>
      </c>
      <c r="W5" s="609">
        <f t="shared" ref="W5:W12" si="11">1/(1+((2.31*K5-2)^2-182)*0.00001)</f>
        <v>0.98057308124835096</v>
      </c>
      <c r="X5" s="611">
        <f t="shared" ref="X5:X12" si="12">4142.8*(1.03-U5)/10</f>
        <v>5.7999200000000055</v>
      </c>
      <c r="Y5" s="612">
        <f t="shared" si="4"/>
        <v>15.213514412328891</v>
      </c>
      <c r="Z5" s="613">
        <f t="shared" si="5"/>
        <v>0.25355857353881484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646.47387320287044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592.1</v>
      </c>
      <c r="I6" s="601">
        <f t="shared" ref="I6:I12" si="13">J6*60</f>
        <v>120</v>
      </c>
      <c r="J6" s="621">
        <v>2</v>
      </c>
      <c r="K6" s="603">
        <v>21</v>
      </c>
      <c r="L6" s="604">
        <v>1.014</v>
      </c>
      <c r="M6" s="602">
        <f t="shared" si="0"/>
        <v>14.000000000000012</v>
      </c>
      <c r="N6" s="602">
        <f t="shared" si="6"/>
        <v>15.499999999999957</v>
      </c>
      <c r="O6" s="605">
        <v>0.18</v>
      </c>
      <c r="P6" s="606">
        <f t="shared" si="1"/>
        <v>15.679999999999957</v>
      </c>
      <c r="Q6" s="607">
        <f t="shared" si="7"/>
        <v>3.7325032367717129E-2</v>
      </c>
      <c r="R6" s="602">
        <f t="shared" si="2"/>
        <v>87.776334273371333</v>
      </c>
      <c r="S6" s="608">
        <f t="shared" si="3"/>
        <v>21.614013695504841</v>
      </c>
      <c r="T6" s="828">
        <f t="shared" si="8"/>
        <v>5.8234648298769729</v>
      </c>
      <c r="U6" s="609">
        <f t="shared" si="9"/>
        <v>1.0154999999999998</v>
      </c>
      <c r="V6" s="610">
        <f t="shared" si="10"/>
        <v>9.863025843344119E-4</v>
      </c>
      <c r="W6" s="609">
        <f t="shared" si="11"/>
        <v>0.98057308124835096</v>
      </c>
      <c r="X6" s="611">
        <f t="shared" si="12"/>
        <v>6.0070600000000747</v>
      </c>
      <c r="Y6" s="612">
        <f t="shared" si="4"/>
        <v>15.420654412328961</v>
      </c>
      <c r="Z6" s="613">
        <f t="shared" si="5"/>
        <v>0.12850545343607467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21</v>
      </c>
      <c r="L7" s="604">
        <v>1.01</v>
      </c>
      <c r="M7" s="602">
        <f t="shared" si="0"/>
        <v>10.000000000000009</v>
      </c>
      <c r="N7" s="602">
        <f t="shared" si="6"/>
        <v>11.499999999999954</v>
      </c>
      <c r="O7" s="605">
        <v>0.18</v>
      </c>
      <c r="P7" s="606">
        <f t="shared" si="1"/>
        <v>11.679999999999954</v>
      </c>
      <c r="Q7" s="607">
        <f t="shared" si="7"/>
        <v>2.4842449902879343E-2</v>
      </c>
      <c r="R7" s="602">
        <f t="shared" si="2"/>
        <v>65.384412264858156</v>
      </c>
      <c r="S7" s="608">
        <f t="shared" si="3"/>
        <v>16.100234691549502</v>
      </c>
      <c r="T7" s="828">
        <f t="shared" si="8"/>
        <v>4.3378870671532495</v>
      </c>
      <c r="U7" s="609">
        <f t="shared" si="9"/>
        <v>1.0114999999999998</v>
      </c>
      <c r="V7" s="610">
        <f t="shared" si="10"/>
        <v>9.863025843344119E-4</v>
      </c>
      <c r="W7" s="609">
        <f t="shared" si="11"/>
        <v>0.98057308124835096</v>
      </c>
      <c r="X7" s="611">
        <f t="shared" si="12"/>
        <v>7.6641800000000755</v>
      </c>
      <c r="Y7" s="612">
        <f t="shared" si="4"/>
        <v>17.077774412328964</v>
      </c>
      <c r="Z7" s="613">
        <f t="shared" si="5"/>
        <v>5.692591470776321E-2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21</v>
      </c>
      <c r="L8" s="604">
        <v>1.0015000000000001</v>
      </c>
      <c r="M8" s="602">
        <f t="shared" si="0"/>
        <v>1.5000000000000568</v>
      </c>
      <c r="N8" s="602">
        <f t="shared" si="6"/>
        <v>3.0000000000000027</v>
      </c>
      <c r="O8" s="605">
        <v>0.18</v>
      </c>
      <c r="P8" s="606">
        <f t="shared" si="1"/>
        <v>3.1800000000000028</v>
      </c>
      <c r="Q8" s="607">
        <f t="shared" si="7"/>
        <v>1.5752259426453481E-2</v>
      </c>
      <c r="R8" s="602">
        <f t="shared" si="2"/>
        <v>17.801577996767975</v>
      </c>
      <c r="S8" s="608">
        <f t="shared" si="3"/>
        <v>4.3834543081444926</v>
      </c>
      <c r="T8" s="828">
        <f t="shared" si="8"/>
        <v>1.1810343213653598</v>
      </c>
      <c r="U8" s="609">
        <f t="shared" si="9"/>
        <v>1.0030000000000001</v>
      </c>
      <c r="V8" s="610">
        <f t="shared" si="10"/>
        <v>9.863025843344119E-4</v>
      </c>
      <c r="W8" s="609">
        <f t="shared" si="11"/>
        <v>0.98057308124835096</v>
      </c>
      <c r="X8" s="611">
        <f t="shared" si="12"/>
        <v>11.185559999999963</v>
      </c>
      <c r="Y8" s="612">
        <f t="shared" si="4"/>
        <v>20.599154412328851</v>
      </c>
      <c r="Z8" s="613">
        <f t="shared" si="5"/>
        <v>2.2887949347032057E-2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21</v>
      </c>
      <c r="L9" s="604">
        <v>1</v>
      </c>
      <c r="M9" s="602">
        <f t="shared" si="0"/>
        <v>0</v>
      </c>
      <c r="N9" s="602">
        <f t="shared" si="6"/>
        <v>1.4999999999999458</v>
      </c>
      <c r="O9" s="605">
        <v>0.18</v>
      </c>
      <c r="P9" s="606">
        <f t="shared" si="1"/>
        <v>1.6799999999999458</v>
      </c>
      <c r="Q9" s="607">
        <f t="shared" si="7"/>
        <v>9.2307310946076557E-3</v>
      </c>
      <c r="R9" s="602">
        <f t="shared" si="2"/>
        <v>9.4046072435752226</v>
      </c>
      <c r="S9" s="608">
        <f t="shared" si="3"/>
        <v>2.3157871816611646</v>
      </c>
      <c r="T9" s="828">
        <f t="shared" si="8"/>
        <v>0.62394266034394297</v>
      </c>
      <c r="U9" s="609">
        <f t="shared" si="9"/>
        <v>1.0015000000000001</v>
      </c>
      <c r="V9" s="610">
        <f t="shared" si="10"/>
        <v>9.863025843344119E-4</v>
      </c>
      <c r="W9" s="609">
        <f t="shared" si="11"/>
        <v>0.98057308124835096</v>
      </c>
      <c r="X9" s="611">
        <f t="shared" si="12"/>
        <v>11.806979999999989</v>
      </c>
      <c r="Y9" s="612">
        <f t="shared" si="4"/>
        <v>21.220574412328872</v>
      </c>
      <c r="Z9" s="613">
        <f t="shared" si="5"/>
        <v>7.8594720045662494E-3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21</v>
      </c>
      <c r="L10" s="604">
        <v>0.999</v>
      </c>
      <c r="M10" s="602">
        <f t="shared" si="0"/>
        <v>-1.0000000000000009</v>
      </c>
      <c r="N10" s="602">
        <f t="shared" si="6"/>
        <v>0.49999999999994493</v>
      </c>
      <c r="O10" s="605">
        <v>0.18</v>
      </c>
      <c r="P10" s="606">
        <f t="shared" si="1"/>
        <v>0.67999999999994487</v>
      </c>
      <c r="Q10" s="607">
        <f t="shared" si="7"/>
        <v>5.7075556430262022E-3</v>
      </c>
      <c r="R10" s="602">
        <f t="shared" si="2"/>
        <v>3.8066267414469279</v>
      </c>
      <c r="S10" s="608">
        <f t="shared" si="3"/>
        <v>0.93734243067233036</v>
      </c>
      <c r="T10" s="828">
        <f t="shared" si="8"/>
        <v>0.25254821966301222</v>
      </c>
      <c r="U10" s="609">
        <f t="shared" si="9"/>
        <v>1.0004999999999999</v>
      </c>
      <c r="V10" s="610">
        <f t="shared" si="10"/>
        <v>9.863025843344119E-4</v>
      </c>
      <c r="W10" s="609">
        <f t="shared" si="11"/>
        <v>0.98057308124835096</v>
      </c>
      <c r="X10" s="611">
        <f t="shared" si="12"/>
        <v>12.221260000000035</v>
      </c>
      <c r="Y10" s="612">
        <f t="shared" si="4"/>
        <v>21.63485441232892</v>
      </c>
      <c r="Z10" s="613">
        <f t="shared" si="5"/>
        <v>3.004840890601239E-3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21</v>
      </c>
      <c r="L11" s="604">
        <v>0.99850000000000005</v>
      </c>
      <c r="M11" s="602">
        <f>(L11-1)*1000</f>
        <v>-1.4999999999999458</v>
      </c>
      <c r="N11" s="602">
        <f t="shared" si="6"/>
        <v>0</v>
      </c>
      <c r="O11" s="605">
        <v>0.18</v>
      </c>
      <c r="P11" s="606">
        <f>N11+O11</f>
        <v>0.18</v>
      </c>
      <c r="Q11" s="607">
        <f t="shared" si="7"/>
        <v>3.3109962134243386E-3</v>
      </c>
      <c r="R11" s="602">
        <f>$F$36*P11</f>
        <v>1.0076364903830919</v>
      </c>
      <c r="S11" s="608">
        <f>$G$24/100*R11</f>
        <v>0.24812005517798988</v>
      </c>
      <c r="T11" s="828">
        <f t="shared" si="8"/>
        <v>6.6850999322567453E-2</v>
      </c>
      <c r="U11" s="609">
        <f t="shared" si="9"/>
        <v>1</v>
      </c>
      <c r="V11" s="610">
        <f t="shared" si="10"/>
        <v>9.863025843344119E-4</v>
      </c>
      <c r="W11" s="609">
        <f t="shared" si="11"/>
        <v>0.98057308124835096</v>
      </c>
      <c r="X11" s="611">
        <f t="shared" si="12"/>
        <v>12.428400000000012</v>
      </c>
      <c r="Y11" s="612">
        <f t="shared" si="4"/>
        <v>21.841994412328898</v>
      </c>
      <c r="Z11" s="613">
        <f t="shared" si="5"/>
        <v>1.0112034450152267E-3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603">
        <v>21</v>
      </c>
      <c r="L12" s="660">
        <v>0.997</v>
      </c>
      <c r="M12" s="661">
        <f>(L12-1)*1000</f>
        <v>-3.0000000000000027</v>
      </c>
      <c r="N12" s="661">
        <f t="shared" si="6"/>
        <v>-1.5000000000000568</v>
      </c>
      <c r="O12" s="605">
        <v>0.18</v>
      </c>
      <c r="P12" s="662">
        <f>N12+O12</f>
        <v>-1.3200000000000569</v>
      </c>
      <c r="Q12" s="663">
        <f t="shared" si="7"/>
        <v>1.6788829830426714E-3</v>
      </c>
      <c r="R12" s="661">
        <f>$F$36*P12</f>
        <v>-7.3893342628096601</v>
      </c>
      <c r="S12" s="664">
        <f>$G$24/100*R12</f>
        <v>-1.8195470713053379</v>
      </c>
      <c r="T12" s="828">
        <f t="shared" si="8"/>
        <v>-0.49024066169884928</v>
      </c>
      <c r="U12" s="609">
        <f t="shared" si="9"/>
        <v>0.99849999999999994</v>
      </c>
      <c r="V12" s="610">
        <f t="shared" si="10"/>
        <v>9.863025843344119E-4</v>
      </c>
      <c r="W12" s="609">
        <f t="shared" si="11"/>
        <v>0.98057308124835096</v>
      </c>
      <c r="X12" s="611">
        <f t="shared" si="12"/>
        <v>13.049820000000034</v>
      </c>
      <c r="Y12" s="612">
        <f t="shared" si="4"/>
        <v>22.46341441232892</v>
      </c>
      <c r="Z12" s="613">
        <f t="shared" si="5"/>
        <v>2.5999322236491807E-4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90.45354455988668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8.6999999999999993</v>
      </c>
      <c r="E14" s="668">
        <f>D14</f>
        <v>8.6999999999999993</v>
      </c>
      <c r="F14" s="651">
        <f t="shared" si="14"/>
        <v>1.4703396991718771</v>
      </c>
      <c r="G14" s="669">
        <f t="shared" si="15"/>
        <v>98.529660300828127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24.5</v>
      </c>
      <c r="E15" s="656">
        <f>D15</f>
        <v>24.5</v>
      </c>
      <c r="F15" s="673">
        <f t="shared" si="14"/>
        <v>4.1406117965185052</v>
      </c>
      <c r="G15" s="674">
        <f t="shared" si="15"/>
        <v>94.389048504309628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644</v>
      </c>
      <c r="E16" s="678">
        <f>D16-C16</f>
        <v>13.600000000000023</v>
      </c>
      <c r="F16" s="651">
        <f t="shared" si="14"/>
        <v>2.2984620584755819</v>
      </c>
      <c r="G16" s="657">
        <f t="shared" si="15"/>
        <v>92.090586445834049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551.1</v>
      </c>
      <c r="E17" s="681">
        <f t="shared" ref="E17:E24" si="16">D17-C17</f>
        <v>31.800000000000068</v>
      </c>
      <c r="F17" s="651">
        <f t="shared" si="14"/>
        <v>5.3743451073179083</v>
      </c>
      <c r="G17" s="669">
        <f t="shared" si="15"/>
        <v>86.716241338516141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557.4</v>
      </c>
      <c r="E18" s="682">
        <f t="shared" si="16"/>
        <v>51.199999999999989</v>
      </c>
      <c r="F18" s="651">
        <f t="shared" si="14"/>
        <v>8.6530336319080572</v>
      </c>
      <c r="G18" s="669">
        <f t="shared" si="15"/>
        <v>78.063207706608083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428.1</v>
      </c>
      <c r="E19" s="681">
        <f t="shared" si="16"/>
        <v>44.300000000000011</v>
      </c>
      <c r="F19" s="651">
        <f t="shared" si="14"/>
        <v>7.4869021463579513</v>
      </c>
      <c r="G19" s="669">
        <f t="shared" si="15"/>
        <v>70.576305560250134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421.1</v>
      </c>
      <c r="E20" s="682">
        <f t="shared" si="16"/>
        <v>44.900000000000034</v>
      </c>
      <c r="F20" s="651">
        <f t="shared" si="14"/>
        <v>7.5883048842318779</v>
      </c>
      <c r="G20" s="669">
        <f t="shared" si="15"/>
        <v>62.98800067601826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0.52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378.9</v>
      </c>
      <c r="E21" s="681">
        <f t="shared" si="16"/>
        <v>48.099999999999966</v>
      </c>
      <c r="F21" s="651">
        <f t="shared" si="14"/>
        <v>8.12911948622612</v>
      </c>
      <c r="G21" s="669">
        <f t="shared" si="15"/>
        <v>54.858881189792143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1.9E-2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436</v>
      </c>
      <c r="E22" s="682">
        <f t="shared" si="16"/>
        <v>109.89999999999998</v>
      </c>
      <c r="F22" s="651">
        <f t="shared" si="14"/>
        <v>18.573601487240147</v>
      </c>
      <c r="G22" s="669">
        <f t="shared" si="15"/>
        <v>36.285279702551996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27.368421052631582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346.3</v>
      </c>
      <c r="E23" s="681">
        <f t="shared" si="16"/>
        <v>41.900000000000034</v>
      </c>
      <c r="F23" s="651">
        <f t="shared" si="14"/>
        <v>7.0812911948622643</v>
      </c>
      <c r="G23" s="684">
        <f t="shared" si="15"/>
        <v>29.203988507689733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340.8</v>
      </c>
      <c r="E24" s="682">
        <f t="shared" si="16"/>
        <v>27.100000000000023</v>
      </c>
      <c r="F24" s="686">
        <f t="shared" si="14"/>
        <v>4.5800236606388403</v>
      </c>
      <c r="G24" s="687">
        <f t="shared" si="15"/>
        <v>24.623964847050893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4.3132279999999987E-6</v>
      </c>
    </row>
    <row r="25" spans="1:26" ht="21.95" customHeight="1" thickBot="1" x14ac:dyDescent="0.3">
      <c r="A25" s="826"/>
      <c r="B25" s="670" t="s">
        <v>14</v>
      </c>
      <c r="C25" s="689">
        <v>367.5</v>
      </c>
      <c r="D25" s="690">
        <v>371.8</v>
      </c>
      <c r="E25" s="691">
        <f>D25-C25+(G6-C26)</f>
        <v>145.70000000000005</v>
      </c>
      <c r="F25" s="651">
        <f t="shared" si="14"/>
        <v>24.623964847050871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450.7</v>
      </c>
      <c r="D26" s="693" t="s">
        <v>19</v>
      </c>
      <c r="E26" s="694">
        <f>SUM(E12:E25)</f>
        <v>591.70000000000016</v>
      </c>
      <c r="F26" s="695">
        <f>SUM(F12:F25)</f>
        <v>100.00000000000001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0.39999999999986358</v>
      </c>
      <c r="F27" s="700">
        <f>IF((E27/G6*100)&gt;1,"Fehler zu groß",(E27/G6*100))</f>
        <v>6.7556156054697447E-2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3.0695107999999998E-7</v>
      </c>
      <c r="X27" s="551" t="str">
        <f>IF(W22&lt;5.000001,"OK","U größer 5")</f>
        <v>U größer 5</v>
      </c>
    </row>
    <row r="28" spans="1:26" ht="20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825" t="s">
        <v>80</v>
      </c>
      <c r="B32" s="713"/>
      <c r="C32" s="713"/>
      <c r="D32" s="713"/>
      <c r="E32" s="714"/>
      <c r="F32" s="715">
        <v>28.69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25" t="s">
        <v>45</v>
      </c>
      <c r="B33" s="82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82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825" t="s">
        <v>36</v>
      </c>
      <c r="B35" s="713"/>
      <c r="C35" s="713"/>
      <c r="D35" s="713"/>
      <c r="E35" s="714"/>
      <c r="F35" s="715">
        <v>28.69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335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5.5979805021282889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4.3132279999999987E-6</v>
      </c>
      <c r="W36" s="838">
        <v>6.7499999999999997E-6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3"/>
  <dimension ref="A1:AE39"/>
  <sheetViews>
    <sheetView topLeftCell="Q7" zoomScale="85" zoomScaleNormal="85" workbookViewId="0">
      <selection activeCell="S13" sqref="S13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126</v>
      </c>
      <c r="D3" s="580" t="s">
        <v>25</v>
      </c>
      <c r="E3" s="582"/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588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1.0155000000000001</v>
      </c>
      <c r="M4" s="602">
        <f t="shared" ref="M4:M10" si="0">(L4-1)*1000</f>
        <v>15.500000000000069</v>
      </c>
      <c r="N4" s="602">
        <f>M4+$G$33</f>
        <v>17.000000000000014</v>
      </c>
      <c r="O4" s="605">
        <v>-0.2</v>
      </c>
      <c r="P4" s="606">
        <f t="shared" ref="P4:P10" si="1">N4+O4</f>
        <v>16.800000000000015</v>
      </c>
      <c r="Q4" s="607">
        <f>((18.35*V4/($F$34-W4))*Z4)^0.5</f>
        <v>7.2272853226536871E-2</v>
      </c>
      <c r="R4" s="602">
        <f t="shared" ref="R4:R10" si="2">$F$36*P4</f>
        <v>86.535658055863408</v>
      </c>
      <c r="S4" s="608">
        <f t="shared" ref="S4:S10" si="3">$G$24/100*R4</f>
        <v>69.667196882705824</v>
      </c>
      <c r="T4" s="828">
        <f>(S4/S$13)*S$4</f>
        <v>12.904177592386642</v>
      </c>
      <c r="U4" s="609">
        <f>1+0.001*N4</f>
        <v>1.0169999999999999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5.3856400000000511</v>
      </c>
      <c r="Y4" s="612">
        <f t="shared" ref="Y4:Y12" si="4">X4+$AB$5+0.5*($AC$5-$AD$5/$AE$5)</f>
        <v>13.740857665612328</v>
      </c>
      <c r="Z4" s="613">
        <f t="shared" ref="Z4:Z12" si="5">Y4/I4</f>
        <v>0.45802858885374426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19</v>
      </c>
      <c r="L5" s="604">
        <v>1.0145</v>
      </c>
      <c r="M5" s="602">
        <f t="shared" si="0"/>
        <v>14.499999999999957</v>
      </c>
      <c r="N5" s="602">
        <f t="shared" ref="N5:N12" si="6">M5+$G$33</f>
        <v>15.999999999999904</v>
      </c>
      <c r="O5" s="605">
        <v>-0.2</v>
      </c>
      <c r="P5" s="606">
        <f t="shared" si="1"/>
        <v>15.799999999999905</v>
      </c>
      <c r="Q5" s="607">
        <f t="shared" ref="Q5:Q12" si="7">((18.35*V5/($F$34-W5))*Z5)^0.5</f>
        <v>5.1869293278941277E-2</v>
      </c>
      <c r="R5" s="602">
        <f t="shared" si="2"/>
        <v>81.384726028728124</v>
      </c>
      <c r="S5" s="608">
        <f t="shared" si="3"/>
        <v>65.520339925401458</v>
      </c>
      <c r="T5" s="828">
        <f t="shared" ref="T5:T12" si="8">(S5/S$13)*S$4</f>
        <v>12.136071783315925</v>
      </c>
      <c r="U5" s="609">
        <f t="shared" ref="U5:U12" si="9">1+0.001*N5</f>
        <v>1.016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5.7999200000000055</v>
      </c>
      <c r="Y5" s="612">
        <f t="shared" si="4"/>
        <v>14.155137665612283</v>
      </c>
      <c r="Z5" s="613">
        <f t="shared" si="5"/>
        <v>0.23591896109353805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27.154670260568732</v>
      </c>
    </row>
    <row r="6" spans="1:31" ht="20.100000000000001" customHeight="1" x14ac:dyDescent="0.35">
      <c r="A6" s="626" t="s">
        <v>28</v>
      </c>
      <c r="B6" s="627"/>
      <c r="C6" s="616"/>
      <c r="D6" s="628"/>
      <c r="E6" s="596" t="s">
        <v>41</v>
      </c>
      <c r="F6" s="629"/>
      <c r="G6" s="630">
        <v>383</v>
      </c>
      <c r="I6" s="601">
        <f t="shared" ref="I6:I12" si="13">J6*60</f>
        <v>120</v>
      </c>
      <c r="J6" s="621">
        <v>2</v>
      </c>
      <c r="K6" s="603">
        <v>19</v>
      </c>
      <c r="L6" s="604">
        <v>1.0129999999999999</v>
      </c>
      <c r="M6" s="602">
        <f t="shared" si="0"/>
        <v>12.999999999999901</v>
      </c>
      <c r="N6" s="602">
        <f t="shared" si="6"/>
        <v>14.499999999999847</v>
      </c>
      <c r="O6" s="605">
        <v>-0.2</v>
      </c>
      <c r="P6" s="606">
        <f t="shared" si="1"/>
        <v>14.299999999999848</v>
      </c>
      <c r="Q6" s="607">
        <f t="shared" si="7"/>
        <v>3.7473557197133481E-2</v>
      </c>
      <c r="R6" s="602">
        <f t="shared" si="2"/>
        <v>73.658327988025746</v>
      </c>
      <c r="S6" s="608">
        <f t="shared" si="3"/>
        <v>59.300054489445344</v>
      </c>
      <c r="T6" s="828">
        <f t="shared" si="8"/>
        <v>10.983913069709931</v>
      </c>
      <c r="U6" s="609">
        <f t="shared" si="9"/>
        <v>1.0145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6.4213400000000291</v>
      </c>
      <c r="Y6" s="612">
        <f t="shared" si="4"/>
        <v>14.776557665612305</v>
      </c>
      <c r="Z6" s="613">
        <f t="shared" si="5"/>
        <v>0.12313798054676921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1.0105</v>
      </c>
      <c r="M7" s="602">
        <f t="shared" si="0"/>
        <v>10.499999999999954</v>
      </c>
      <c r="N7" s="602">
        <f t="shared" si="6"/>
        <v>11.999999999999901</v>
      </c>
      <c r="O7" s="605">
        <v>-0.2</v>
      </c>
      <c r="P7" s="606">
        <f t="shared" si="1"/>
        <v>11.799999999999901</v>
      </c>
      <c r="Q7" s="607">
        <f t="shared" si="7"/>
        <v>2.4516881120057125E-2</v>
      </c>
      <c r="R7" s="602">
        <f t="shared" si="2"/>
        <v>60.780997920189215</v>
      </c>
      <c r="S7" s="608">
        <f t="shared" si="3"/>
        <v>48.932912096185781</v>
      </c>
      <c r="T7" s="828">
        <f t="shared" si="8"/>
        <v>9.0636485470333916</v>
      </c>
      <c r="U7" s="609">
        <f t="shared" si="9"/>
        <v>1.012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7.4570400000000063</v>
      </c>
      <c r="Y7" s="612">
        <f t="shared" si="4"/>
        <v>15.812257665612282</v>
      </c>
      <c r="Z7" s="613">
        <f t="shared" si="5"/>
        <v>5.2707525552040939E-2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1.008</v>
      </c>
      <c r="M8" s="602">
        <f t="shared" si="0"/>
        <v>8.0000000000000071</v>
      </c>
      <c r="N8" s="602">
        <f t="shared" si="6"/>
        <v>9.4999999999999538</v>
      </c>
      <c r="O8" s="605">
        <v>-0.2</v>
      </c>
      <c r="P8" s="606">
        <f t="shared" si="1"/>
        <v>9.2999999999999545</v>
      </c>
      <c r="Q8" s="607">
        <f t="shared" si="7"/>
        <v>1.4611045184007123E-2</v>
      </c>
      <c r="R8" s="602">
        <f t="shared" si="2"/>
        <v>47.903667852352683</v>
      </c>
      <c r="S8" s="608">
        <f t="shared" si="3"/>
        <v>38.565769702926218</v>
      </c>
      <c r="T8" s="828">
        <f t="shared" si="8"/>
        <v>7.14338402435685</v>
      </c>
      <c r="U8" s="609">
        <f t="shared" si="9"/>
        <v>1.0095000000000001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8.4927399999999853</v>
      </c>
      <c r="Y8" s="612">
        <f t="shared" si="4"/>
        <v>16.847957665612263</v>
      </c>
      <c r="Z8" s="613">
        <f t="shared" si="5"/>
        <v>1.8719952961791405E-2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1.006</v>
      </c>
      <c r="M9" s="602">
        <f t="shared" si="0"/>
        <v>6.0000000000000053</v>
      </c>
      <c r="N9" s="602">
        <f t="shared" si="6"/>
        <v>7.4999999999999512</v>
      </c>
      <c r="O9" s="605">
        <v>-0.2</v>
      </c>
      <c r="P9" s="606">
        <f t="shared" si="1"/>
        <v>7.299999999999951</v>
      </c>
      <c r="Q9" s="607">
        <f t="shared" si="7"/>
        <v>8.6406294492236638E-3</v>
      </c>
      <c r="R9" s="602">
        <f t="shared" si="2"/>
        <v>37.601803798083218</v>
      </c>
      <c r="S9" s="608">
        <f t="shared" si="3"/>
        <v>30.272055788318369</v>
      </c>
      <c r="T9" s="828">
        <f t="shared" si="8"/>
        <v>5.6071724062155806</v>
      </c>
      <c r="U9" s="609">
        <f t="shared" si="9"/>
        <v>1.0074999999999998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9.3213000000000772</v>
      </c>
      <c r="Y9" s="612">
        <f t="shared" si="4"/>
        <v>17.676517665612351</v>
      </c>
      <c r="Z9" s="613">
        <f t="shared" si="5"/>
        <v>6.546858394671241E-3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1.0049999999999999</v>
      </c>
      <c r="M10" s="602">
        <f t="shared" si="0"/>
        <v>4.9999999999998934</v>
      </c>
      <c r="N10" s="602">
        <f t="shared" si="6"/>
        <v>6.4999999999998392</v>
      </c>
      <c r="O10" s="605">
        <v>-0.2</v>
      </c>
      <c r="P10" s="606">
        <f t="shared" si="1"/>
        <v>6.2999999999998391</v>
      </c>
      <c r="Q10" s="607">
        <f t="shared" si="7"/>
        <v>5.3529294207705852E-3</v>
      </c>
      <c r="R10" s="602">
        <f t="shared" si="2"/>
        <v>32.45087177094792</v>
      </c>
      <c r="S10" s="608">
        <f t="shared" si="3"/>
        <v>26.125198831013993</v>
      </c>
      <c r="T10" s="828">
        <f t="shared" si="8"/>
        <v>4.8390665971448632</v>
      </c>
      <c r="U10" s="609">
        <f t="shared" si="9"/>
        <v>1.0065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9.7355800000000308</v>
      </c>
      <c r="Y10" s="612">
        <f t="shared" si="4"/>
        <v>18.090797665612307</v>
      </c>
      <c r="Z10" s="613">
        <f t="shared" si="5"/>
        <v>2.512610786890598E-3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1.0035000000000001</v>
      </c>
      <c r="M11" s="602">
        <f>(L11-1)*1000</f>
        <v>3.5000000000000586</v>
      </c>
      <c r="N11" s="602">
        <f t="shared" si="6"/>
        <v>5.0000000000000044</v>
      </c>
      <c r="O11" s="605">
        <v>-0.2</v>
      </c>
      <c r="P11" s="606">
        <f>N11+O11</f>
        <v>4.8000000000000043</v>
      </c>
      <c r="Q11" s="607">
        <f t="shared" si="7"/>
        <v>3.1431467772525023E-3</v>
      </c>
      <c r="R11" s="602">
        <f>$F$36*P11</f>
        <v>24.724473730246689</v>
      </c>
      <c r="S11" s="608">
        <f>$G$24/100*R11</f>
        <v>19.904913395058806</v>
      </c>
      <c r="T11" s="828">
        <f t="shared" si="8"/>
        <v>3.6869078835390403</v>
      </c>
      <c r="U11" s="609">
        <f t="shared" si="9"/>
        <v>1.0049999999999999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10.357000000000056</v>
      </c>
      <c r="Y11" s="612">
        <f t="shared" si="4"/>
        <v>18.712217665612332</v>
      </c>
      <c r="Z11" s="613">
        <f t="shared" si="5"/>
        <v>8.6630637340797832E-4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603">
        <v>19</v>
      </c>
      <c r="L12" s="660">
        <v>1.0029999999999999</v>
      </c>
      <c r="M12" s="661">
        <f>(L12-1)*1000</f>
        <v>2.9999999999998916</v>
      </c>
      <c r="N12" s="661">
        <f t="shared" si="6"/>
        <v>4.4999999999998375</v>
      </c>
      <c r="O12" s="605">
        <v>-0.2</v>
      </c>
      <c r="P12" s="662">
        <f>N12+O12</f>
        <v>4.2999999999998373</v>
      </c>
      <c r="Q12" s="663">
        <f t="shared" si="7"/>
        <v>1.5802479286534128E-3</v>
      </c>
      <c r="R12" s="661">
        <f>$F$36*P12</f>
        <v>22.149007716678465</v>
      </c>
      <c r="S12" s="664">
        <f>$G$24/100*R12</f>
        <v>17.831484916406154</v>
      </c>
      <c r="T12" s="828">
        <f t="shared" si="8"/>
        <v>3.302854979003595</v>
      </c>
      <c r="U12" s="609">
        <f t="shared" si="9"/>
        <v>1.0044999999999997</v>
      </c>
      <c r="V12" s="610">
        <f t="shared" si="10"/>
        <v>1.0350522178028982E-3</v>
      </c>
      <c r="W12" s="609">
        <f t="shared" si="11"/>
        <v>0.98451581001991773</v>
      </c>
      <c r="X12" s="611">
        <f t="shared" si="12"/>
        <v>10.564140000000126</v>
      </c>
      <c r="Y12" s="612">
        <f t="shared" si="4"/>
        <v>18.919357665612402</v>
      </c>
      <c r="Z12" s="613">
        <f t="shared" si="5"/>
        <v>2.1897404705569911E-4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376.11992602746199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0</v>
      </c>
      <c r="E14" s="668">
        <f>D14</f>
        <v>0</v>
      </c>
      <c r="F14" s="651">
        <f t="shared" si="14"/>
        <v>0</v>
      </c>
      <c r="G14" s="669">
        <f t="shared" si="15"/>
        <v>100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0</v>
      </c>
      <c r="E15" s="656">
        <f>D15</f>
        <v>0</v>
      </c>
      <c r="F15" s="673">
        <f t="shared" si="14"/>
        <v>0</v>
      </c>
      <c r="G15" s="674">
        <f t="shared" si="15"/>
        <v>100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631</v>
      </c>
      <c r="E16" s="678">
        <f>D16-C16</f>
        <v>0.60000000000002274</v>
      </c>
      <c r="F16" s="651">
        <f t="shared" si="14"/>
        <v>0.15678076822577025</v>
      </c>
      <c r="G16" s="657">
        <f t="shared" si="15"/>
        <v>99.843219231774228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521.79999999999995</v>
      </c>
      <c r="E17" s="681">
        <f t="shared" ref="E17:E24" si="16">D17-C17</f>
        <v>2.5</v>
      </c>
      <c r="F17" s="651">
        <f t="shared" si="14"/>
        <v>0.65325320094068462</v>
      </c>
      <c r="G17" s="669">
        <f t="shared" si="15"/>
        <v>99.189966030833546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</row>
    <row r="18" spans="1:26" ht="21.95" customHeight="1" x14ac:dyDescent="0.2">
      <c r="A18" s="986"/>
      <c r="B18" s="679">
        <v>2</v>
      </c>
      <c r="C18" s="666">
        <v>506.2</v>
      </c>
      <c r="D18" s="680">
        <v>507.9</v>
      </c>
      <c r="E18" s="682">
        <f t="shared" si="16"/>
        <v>1.6999999999999886</v>
      </c>
      <c r="F18" s="651">
        <f t="shared" si="14"/>
        <v>0.44421217663966261</v>
      </c>
      <c r="G18" s="669">
        <f t="shared" si="15"/>
        <v>98.745753854193879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</row>
    <row r="19" spans="1:26" ht="21.95" customHeight="1" x14ac:dyDescent="0.2">
      <c r="A19" s="986"/>
      <c r="B19" s="679">
        <v>1</v>
      </c>
      <c r="C19" s="666">
        <v>383.8</v>
      </c>
      <c r="D19" s="680">
        <v>388.3</v>
      </c>
      <c r="E19" s="681">
        <f t="shared" si="16"/>
        <v>4.5</v>
      </c>
      <c r="F19" s="651">
        <f t="shared" si="14"/>
        <v>1.1758557616932324</v>
      </c>
      <c r="G19" s="669">
        <f t="shared" si="15"/>
        <v>97.569898092500651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</row>
    <row r="20" spans="1:26" ht="21.95" customHeight="1" x14ac:dyDescent="0.2">
      <c r="A20" s="986"/>
      <c r="B20" s="665">
        <v>0.63</v>
      </c>
      <c r="C20" s="666">
        <v>376.2</v>
      </c>
      <c r="D20" s="680">
        <v>385.3</v>
      </c>
      <c r="E20" s="682">
        <f t="shared" si="16"/>
        <v>9.1000000000000227</v>
      </c>
      <c r="F20" s="651">
        <f t="shared" si="14"/>
        <v>2.3778416514240979</v>
      </c>
      <c r="G20" s="669">
        <f t="shared" si="15"/>
        <v>95.192056441076559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3.9E-2</v>
      </c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345.3</v>
      </c>
      <c r="E21" s="681">
        <f t="shared" si="16"/>
        <v>14.5</v>
      </c>
      <c r="F21" s="651">
        <f t="shared" si="14"/>
        <v>3.7888685654559708</v>
      </c>
      <c r="G21" s="669">
        <f t="shared" si="15"/>
        <v>91.403187875620588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6.9999999999999999E-4</v>
      </c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347.7</v>
      </c>
      <c r="E22" s="682">
        <f t="shared" si="16"/>
        <v>21.599999999999966</v>
      </c>
      <c r="F22" s="651">
        <f t="shared" si="14"/>
        <v>5.6441076561275061</v>
      </c>
      <c r="G22" s="669">
        <f t="shared" si="15"/>
        <v>85.759080219493086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55.714285714285715</v>
      </c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313.8</v>
      </c>
      <c r="E23" s="681">
        <f t="shared" si="16"/>
        <v>9.4000000000000341</v>
      </c>
      <c r="F23" s="651">
        <f t="shared" si="14"/>
        <v>2.4562320355369831</v>
      </c>
      <c r="G23" s="684">
        <f t="shared" si="15"/>
        <v>83.302848183956101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324.39999999999998</v>
      </c>
      <c r="E24" s="682">
        <f t="shared" si="16"/>
        <v>10.699999999999989</v>
      </c>
      <c r="F24" s="686">
        <f t="shared" si="14"/>
        <v>2.795923700026127</v>
      </c>
      <c r="G24" s="687">
        <f t="shared" si="15"/>
        <v>80.506924483929978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5.8545199999999977E-9</v>
      </c>
    </row>
    <row r="25" spans="1:26" ht="21.95" customHeight="1" thickBot="1" x14ac:dyDescent="0.3">
      <c r="A25" s="688"/>
      <c r="B25" s="670" t="s">
        <v>14</v>
      </c>
      <c r="C25" s="689">
        <v>367.5</v>
      </c>
      <c r="D25" s="690">
        <v>368.9</v>
      </c>
      <c r="E25" s="691">
        <f>D25-C25+(G6-C26)</f>
        <v>308.09999999999997</v>
      </c>
      <c r="F25" s="651">
        <f t="shared" si="14"/>
        <v>80.506924483929964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26" ht="21.95" customHeight="1" x14ac:dyDescent="0.2">
      <c r="A26" s="989" t="s">
        <v>40</v>
      </c>
      <c r="B26" s="990"/>
      <c r="C26" s="692">
        <v>76.3</v>
      </c>
      <c r="D26" s="693" t="s">
        <v>19</v>
      </c>
      <c r="E26" s="694">
        <f>SUM(E12:E25)</f>
        <v>382.7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0.30000000000001137</v>
      </c>
      <c r="F27" s="700">
        <f>IF((E27/G6*100)&gt;1,"Fehler zu groß",(E27/G6*100))</f>
        <v>7.8328981723240557E-2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4.1663719999999996E-10</v>
      </c>
      <c r="X27" s="551" t="str">
        <f>IF(W22&lt;5.000001,"OK","U größer 5")</f>
        <v>U größer 5</v>
      </c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26" ht="21.95" customHeight="1" x14ac:dyDescent="0.35">
      <c r="A32" s="712" t="s">
        <v>80</v>
      </c>
      <c r="B32" s="713"/>
      <c r="C32" s="713"/>
      <c r="D32" s="713"/>
      <c r="E32" s="714"/>
      <c r="F32" s="715">
        <v>5.88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712" t="s">
        <v>45</v>
      </c>
      <c r="B33" s="712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712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712" t="s">
        <v>36</v>
      </c>
      <c r="B35" s="713"/>
      <c r="C35" s="713"/>
      <c r="D35" s="713"/>
      <c r="E35" s="714"/>
      <c r="F35" s="715">
        <v>31.18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338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5.1509320271347221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(W24)</f>
        <v>5.8545199999999977E-9</v>
      </c>
      <c r="W36" s="838">
        <v>2.5409999999999998E-7</v>
      </c>
    </row>
    <row r="37" spans="1:26" x14ac:dyDescent="0.2">
      <c r="W37" s="842" t="s">
        <v>344</v>
      </c>
    </row>
    <row r="38" spans="1:26" x14ac:dyDescent="0.2">
      <c r="W38" s="530" t="s">
        <v>345</v>
      </c>
    </row>
    <row r="39" spans="1:26" x14ac:dyDescent="0.2">
      <c r="W39" s="530" t="s">
        <v>346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4"/>
  <dimension ref="A1:AE39"/>
  <sheetViews>
    <sheetView topLeftCell="P7" zoomScale="85" zoomScaleNormal="85" workbookViewId="0">
      <selection activeCell="O12" sqref="O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127</v>
      </c>
      <c r="D3" s="580" t="s">
        <v>25</v>
      </c>
      <c r="E3" s="582">
        <v>39848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13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1.014</v>
      </c>
      <c r="M4" s="602">
        <f t="shared" ref="M4:M10" si="0">(L4-1)*1000</f>
        <v>14.000000000000012</v>
      </c>
      <c r="N4" s="602">
        <f>M4+$G$33</f>
        <v>15.499999999999957</v>
      </c>
      <c r="O4" s="605">
        <v>-0.19</v>
      </c>
      <c r="P4" s="606">
        <f t="shared" ref="P4:P10" si="1">N4+O4</f>
        <v>15.309999999999958</v>
      </c>
      <c r="Q4" s="607">
        <f>((18.35*V4/($F$34-W4))*Z4)^0.5</f>
        <v>7.4019553039022301E-2</v>
      </c>
      <c r="R4" s="602">
        <f t="shared" ref="R4:R10" si="2">$F$36*P4</f>
        <v>78.358151302701756</v>
      </c>
      <c r="S4" s="608">
        <f t="shared" ref="S4:S10" si="3">$G$24/100*R4</f>
        <v>27.790922250005615</v>
      </c>
      <c r="T4" s="828">
        <f>(S4/S$13)*S$4</f>
        <v>5.1392561861044523</v>
      </c>
      <c r="U4" s="609">
        <f>1+0.001*N4</f>
        <v>1.0154999999999998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6.0070600000000747</v>
      </c>
      <c r="Y4" s="612">
        <f t="shared" ref="Y4:Y12" si="4">X4+$AB$5+0.5*($AC$5-$AD$5/$AE$5)</f>
        <v>14.413065387852999</v>
      </c>
      <c r="Z4" s="613">
        <f t="shared" ref="Z4:Z12" si="5">Y4/I4</f>
        <v>0.48043551292843328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 t="s">
        <v>102</v>
      </c>
      <c r="D5" s="617"/>
      <c r="E5" s="618" t="s">
        <v>4</v>
      </c>
      <c r="F5" s="619" t="s">
        <v>125</v>
      </c>
      <c r="G5" s="620"/>
      <c r="I5" s="601">
        <f>J5*60</f>
        <v>60</v>
      </c>
      <c r="J5" s="621">
        <v>1</v>
      </c>
      <c r="K5" s="603">
        <v>19</v>
      </c>
      <c r="L5" s="604">
        <v>1.0135000000000001</v>
      </c>
      <c r="M5" s="602">
        <f t="shared" si="0"/>
        <v>13.500000000000068</v>
      </c>
      <c r="N5" s="602">
        <f t="shared" ref="N5:N12" si="6">M5+$G$33</f>
        <v>15.000000000000014</v>
      </c>
      <c r="O5" s="605">
        <v>-0.19</v>
      </c>
      <c r="P5" s="606">
        <f t="shared" si="1"/>
        <v>14.810000000000015</v>
      </c>
      <c r="Q5" s="607">
        <f t="shared" ref="Q5:Q12" si="7">((18.35*V5/($F$34-W5))*Z5)^0.5</f>
        <v>5.2714491179376627E-2</v>
      </c>
      <c r="R5" s="602">
        <f t="shared" si="2"/>
        <v>75.799099986480556</v>
      </c>
      <c r="S5" s="608">
        <f t="shared" si="3"/>
        <v>26.88331538357836</v>
      </c>
      <c r="T5" s="828">
        <f t="shared" ref="T5:T12" si="8">(S5/S$13)*S$4</f>
        <v>4.9714163367868851</v>
      </c>
      <c r="U5" s="609">
        <f t="shared" ref="U5:U12" si="9">1+0.001*N5</f>
        <v>1.0150000000000001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6.21419999999996</v>
      </c>
      <c r="Y5" s="612">
        <f t="shared" si="4"/>
        <v>14.620205387852884</v>
      </c>
      <c r="Z5" s="613">
        <f t="shared" si="5"/>
        <v>0.24367008979754806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28.463143600788879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409.3</v>
      </c>
      <c r="I6" s="601">
        <f t="shared" ref="I6:I12" si="13">J6*60</f>
        <v>120</v>
      </c>
      <c r="J6" s="621">
        <v>2</v>
      </c>
      <c r="K6" s="603">
        <v>19</v>
      </c>
      <c r="L6" s="604">
        <v>1.0115000000000001</v>
      </c>
      <c r="M6" s="602">
        <f t="shared" si="0"/>
        <v>11.500000000000066</v>
      </c>
      <c r="N6" s="602">
        <f t="shared" si="6"/>
        <v>13.000000000000011</v>
      </c>
      <c r="O6" s="605">
        <v>-0.19</v>
      </c>
      <c r="P6" s="606">
        <f t="shared" si="1"/>
        <v>12.810000000000011</v>
      </c>
      <c r="Q6" s="607">
        <f t="shared" si="7"/>
        <v>3.8316441884064058E-2</v>
      </c>
      <c r="R6" s="602">
        <f t="shared" si="2"/>
        <v>65.562894721594589</v>
      </c>
      <c r="S6" s="608">
        <f t="shared" si="3"/>
        <v>23.252887917868922</v>
      </c>
      <c r="T6" s="828">
        <f t="shared" si="8"/>
        <v>4.3000569395165424</v>
      </c>
      <c r="U6" s="609">
        <f t="shared" si="9"/>
        <v>1.0129999999999999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7.0427600000000528</v>
      </c>
      <c r="Y6" s="612">
        <f t="shared" si="4"/>
        <v>15.448765387852976</v>
      </c>
      <c r="Z6" s="613">
        <f t="shared" si="5"/>
        <v>0.12873971156544148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1.0089999999999999</v>
      </c>
      <c r="M7" s="602">
        <f t="shared" si="0"/>
        <v>8.999999999999897</v>
      </c>
      <c r="N7" s="602">
        <f t="shared" si="6"/>
        <v>10.499999999999844</v>
      </c>
      <c r="O7" s="605">
        <v>-0.19</v>
      </c>
      <c r="P7" s="606">
        <f t="shared" si="1"/>
        <v>10.309999999999844</v>
      </c>
      <c r="Q7" s="607">
        <f t="shared" si="7"/>
        <v>2.5032585797600357E-2</v>
      </c>
      <c r="R7" s="602">
        <f t="shared" si="2"/>
        <v>52.767638140486291</v>
      </c>
      <c r="S7" s="608">
        <f t="shared" si="3"/>
        <v>18.714853585731831</v>
      </c>
      <c r="T7" s="828">
        <f t="shared" si="8"/>
        <v>3.4608576929285588</v>
      </c>
      <c r="U7" s="609">
        <f t="shared" si="9"/>
        <v>1.0105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8.0784600000000317</v>
      </c>
      <c r="Y7" s="612">
        <f t="shared" si="4"/>
        <v>16.484465387852957</v>
      </c>
      <c r="Z7" s="613">
        <f t="shared" si="5"/>
        <v>5.4948217959509854E-2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1.008</v>
      </c>
      <c r="M8" s="602">
        <f t="shared" si="0"/>
        <v>8.0000000000000071</v>
      </c>
      <c r="N8" s="602">
        <f t="shared" si="6"/>
        <v>9.4999999999999538</v>
      </c>
      <c r="O8" s="605">
        <v>-0.19</v>
      </c>
      <c r="P8" s="606">
        <f t="shared" si="1"/>
        <v>9.3099999999999543</v>
      </c>
      <c r="Q8" s="607">
        <f t="shared" si="7"/>
        <v>1.463305091696116E-2</v>
      </c>
      <c r="R8" s="602">
        <f t="shared" si="2"/>
        <v>47.649535508043876</v>
      </c>
      <c r="S8" s="608">
        <f t="shared" si="3"/>
        <v>16.899639852877314</v>
      </c>
      <c r="T8" s="828">
        <f t="shared" si="8"/>
        <v>3.1251779942934248</v>
      </c>
      <c r="U8" s="609">
        <f t="shared" si="9"/>
        <v>1.0095000000000001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8.4927399999999853</v>
      </c>
      <c r="Y8" s="612">
        <f t="shared" si="4"/>
        <v>16.898745387852909</v>
      </c>
      <c r="Z8" s="613">
        <f t="shared" si="5"/>
        <v>1.8776383764281011E-2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1.0055000000000001</v>
      </c>
      <c r="M9" s="602">
        <f t="shared" si="0"/>
        <v>5.5000000000000604</v>
      </c>
      <c r="N9" s="602">
        <f t="shared" si="6"/>
        <v>7.0000000000000062</v>
      </c>
      <c r="O9" s="605">
        <v>-0.19</v>
      </c>
      <c r="P9" s="606">
        <f t="shared" si="1"/>
        <v>6.8100000000000058</v>
      </c>
      <c r="Q9" s="607">
        <f t="shared" si="7"/>
        <v>8.7034412202390971E-3</v>
      </c>
      <c r="R9" s="602">
        <f t="shared" si="2"/>
        <v>34.854278926936701</v>
      </c>
      <c r="S9" s="608">
        <f t="shared" si="3"/>
        <v>12.361605520740621</v>
      </c>
      <c r="T9" s="828">
        <f t="shared" si="8"/>
        <v>2.2859787477055153</v>
      </c>
      <c r="U9" s="609">
        <f t="shared" si="9"/>
        <v>1.0070000000000001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9.5284399999999643</v>
      </c>
      <c r="Y9" s="612">
        <f t="shared" si="4"/>
        <v>17.93444538785289</v>
      </c>
      <c r="Z9" s="613">
        <f t="shared" si="5"/>
        <v>6.6423871806862555E-3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1.004</v>
      </c>
      <c r="M10" s="602">
        <f t="shared" si="0"/>
        <v>4.0000000000000036</v>
      </c>
      <c r="N10" s="602">
        <f t="shared" si="6"/>
        <v>5.4999999999999494</v>
      </c>
      <c r="O10" s="605">
        <v>-0.19</v>
      </c>
      <c r="P10" s="606">
        <f t="shared" si="1"/>
        <v>5.309999999999949</v>
      </c>
      <c r="Q10" s="607">
        <f t="shared" si="7"/>
        <v>5.4212978159400111E-3</v>
      </c>
      <c r="R10" s="602">
        <f t="shared" si="2"/>
        <v>27.177124978271944</v>
      </c>
      <c r="S10" s="608">
        <f t="shared" si="3"/>
        <v>9.6387849214584449</v>
      </c>
      <c r="T10" s="828">
        <f t="shared" si="8"/>
        <v>1.7824591997527399</v>
      </c>
      <c r="U10" s="609">
        <f t="shared" si="9"/>
        <v>1.0055000000000001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10.149859999999986</v>
      </c>
      <c r="Y10" s="612">
        <f t="shared" si="4"/>
        <v>18.555865387852911</v>
      </c>
      <c r="Z10" s="613">
        <f t="shared" si="5"/>
        <v>2.577203526090682E-3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1.0029999999999999</v>
      </c>
      <c r="M11" s="602">
        <f>(L11-1)*1000</f>
        <v>2.9999999999998916</v>
      </c>
      <c r="N11" s="602">
        <f t="shared" si="6"/>
        <v>4.4999999999998375</v>
      </c>
      <c r="O11" s="605">
        <v>-0.19</v>
      </c>
      <c r="P11" s="606">
        <f>N11+O11</f>
        <v>4.3099999999998371</v>
      </c>
      <c r="Q11" s="607">
        <f t="shared" si="7"/>
        <v>3.1647350817680794E-3</v>
      </c>
      <c r="R11" s="602">
        <f>$F$36*P11</f>
        <v>22.059022345828396</v>
      </c>
      <c r="S11" s="608">
        <f>$G$24/100*R11</f>
        <v>7.8235711886035268</v>
      </c>
      <c r="T11" s="828">
        <f t="shared" si="8"/>
        <v>1.4467795011175317</v>
      </c>
      <c r="U11" s="609">
        <f t="shared" si="9"/>
        <v>1.0044999999999997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10.564140000000126</v>
      </c>
      <c r="Y11" s="612">
        <f t="shared" si="4"/>
        <v>18.970145387853051</v>
      </c>
      <c r="Z11" s="613">
        <f t="shared" si="5"/>
        <v>8.7824747165986348E-4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603">
        <v>19</v>
      </c>
      <c r="L12" s="660">
        <v>1.0024999999999999</v>
      </c>
      <c r="M12" s="661">
        <f>(L12-1)*1000</f>
        <v>2.4999999999999467</v>
      </c>
      <c r="N12" s="661">
        <f t="shared" si="6"/>
        <v>3.9999999999998925</v>
      </c>
      <c r="O12" s="605">
        <v>-0.19</v>
      </c>
      <c r="P12" s="662">
        <f>N12+O12</f>
        <v>3.8099999999998926</v>
      </c>
      <c r="Q12" s="663">
        <f t="shared" si="7"/>
        <v>1.5909832288929326E-3</v>
      </c>
      <c r="R12" s="661">
        <f>$F$36*P12</f>
        <v>19.499971029607192</v>
      </c>
      <c r="S12" s="664">
        <f>$G$24/100*R12</f>
        <v>6.9159643221762703</v>
      </c>
      <c r="T12" s="828">
        <f t="shared" si="8"/>
        <v>1.2789396517999649</v>
      </c>
      <c r="U12" s="609">
        <f t="shared" si="9"/>
        <v>1.004</v>
      </c>
      <c r="V12" s="610">
        <f t="shared" si="10"/>
        <v>1.0350522178028982E-3</v>
      </c>
      <c r="W12" s="609">
        <f t="shared" si="11"/>
        <v>0.98451581001991773</v>
      </c>
      <c r="X12" s="611">
        <f t="shared" si="12"/>
        <v>10.77128000000001</v>
      </c>
      <c r="Y12" s="612">
        <f t="shared" si="4"/>
        <v>19.177285387852933</v>
      </c>
      <c r="Z12" s="613">
        <f t="shared" si="5"/>
        <v>2.219593216186682E-4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828">
        <f>SUM(S4:S12)</f>
        <v>150.2815449430409</v>
      </c>
      <c r="AA13" s="622"/>
      <c r="AB13" s="530" t="s">
        <v>321</v>
      </c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39.700000000000003</v>
      </c>
      <c r="E14" s="668">
        <f>D14</f>
        <v>39.700000000000003</v>
      </c>
      <c r="F14" s="651">
        <f t="shared" si="14"/>
        <v>9.6971177332681968</v>
      </c>
      <c r="G14" s="669">
        <f t="shared" si="15"/>
        <v>90.3028822667318</v>
      </c>
      <c r="T14" s="828"/>
      <c r="AB14" s="829">
        <v>7.0756262345245818E-2</v>
      </c>
      <c r="AC14" s="829">
        <v>93.712459200030125</v>
      </c>
      <c r="AD14" s="830">
        <v>33.236563448569562</v>
      </c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59.5</v>
      </c>
      <c r="E15" s="656">
        <f>D15</f>
        <v>59.5</v>
      </c>
      <c r="F15" s="673">
        <f t="shared" si="14"/>
        <v>14.533463605276012</v>
      </c>
      <c r="G15" s="674">
        <f t="shared" si="15"/>
        <v>75.769418661455788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V15" s="532" t="s">
        <v>122</v>
      </c>
      <c r="W15" s="533"/>
      <c r="AB15" s="829">
        <v>5.1962261804082623E-2</v>
      </c>
      <c r="AC15" s="829">
        <v>80.917202618922971</v>
      </c>
      <c r="AD15" s="830">
        <v>28.698529116432873</v>
      </c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635.5</v>
      </c>
      <c r="E16" s="678">
        <f>D16-C16</f>
        <v>5.1000000000000227</v>
      </c>
      <c r="F16" s="651">
        <f t="shared" si="14"/>
        <v>1.2457254518808067</v>
      </c>
      <c r="G16" s="657">
        <f t="shared" si="15"/>
        <v>74.523693209574986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V16" s="534" t="s">
        <v>123</v>
      </c>
      <c r="W16" s="535"/>
      <c r="AB16" s="829">
        <v>3.8058697909002501E-2</v>
      </c>
      <c r="AC16" s="829">
        <v>68.121946037815803</v>
      </c>
      <c r="AD16" s="830">
        <v>24.160494784296183</v>
      </c>
    </row>
    <row r="17" spans="1:30" ht="22.5" customHeight="1" thickBot="1" x14ac:dyDescent="0.25">
      <c r="A17" s="986"/>
      <c r="B17" s="679">
        <v>4</v>
      </c>
      <c r="C17" s="666">
        <v>519.29999999999995</v>
      </c>
      <c r="D17" s="680">
        <v>534.4</v>
      </c>
      <c r="E17" s="681">
        <f t="shared" ref="E17:E24" si="16">D17-C17</f>
        <v>15.100000000000023</v>
      </c>
      <c r="F17" s="651">
        <f t="shared" si="14"/>
        <v>3.6883243771372793</v>
      </c>
      <c r="G17" s="669">
        <f t="shared" si="15"/>
        <v>70.835368832437709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V17" s="536" t="s">
        <v>124</v>
      </c>
      <c r="W17" s="537"/>
      <c r="AB17" s="827">
        <v>2.5032585797600357E-2</v>
      </c>
      <c r="AC17" s="827">
        <v>52.767638140486291</v>
      </c>
      <c r="AD17" s="828">
        <v>18.714853585731831</v>
      </c>
    </row>
    <row r="18" spans="1:30" ht="21.95" customHeight="1" x14ac:dyDescent="0.2">
      <c r="A18" s="986"/>
      <c r="B18" s="679">
        <v>2</v>
      </c>
      <c r="C18" s="666">
        <v>506.2</v>
      </c>
      <c r="D18" s="680">
        <v>521.5</v>
      </c>
      <c r="E18" s="682">
        <f t="shared" si="16"/>
        <v>15.300000000000011</v>
      </c>
      <c r="F18" s="651">
        <f t="shared" si="14"/>
        <v>3.737176355642406</v>
      </c>
      <c r="G18" s="669">
        <f t="shared" si="15"/>
        <v>67.098192476795305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AB18" s="827">
        <v>1.463305091696116E-2</v>
      </c>
      <c r="AC18" s="827">
        <v>47.649535508043876</v>
      </c>
      <c r="AD18" s="828">
        <v>16.899639852877314</v>
      </c>
    </row>
    <row r="19" spans="1:30" ht="21.95" customHeight="1" x14ac:dyDescent="0.2">
      <c r="A19" s="986"/>
      <c r="B19" s="679">
        <v>1</v>
      </c>
      <c r="C19" s="666">
        <v>383.8</v>
      </c>
      <c r="D19" s="680">
        <v>395.9</v>
      </c>
      <c r="E19" s="681">
        <f t="shared" si="16"/>
        <v>12.099999999999966</v>
      </c>
      <c r="F19" s="651">
        <f t="shared" si="14"/>
        <v>2.9555446995603236</v>
      </c>
      <c r="G19" s="669">
        <f t="shared" si="15"/>
        <v>64.142647777234984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V19" s="538" t="s">
        <v>109</v>
      </c>
      <c r="W19" s="539">
        <v>11</v>
      </c>
      <c r="AB19" s="827">
        <v>8.7034412202390971E-3</v>
      </c>
      <c r="AC19" s="827">
        <v>34.854278926936701</v>
      </c>
      <c r="AD19" s="828">
        <v>12.361605520740621</v>
      </c>
    </row>
    <row r="20" spans="1:30" ht="21.95" customHeight="1" x14ac:dyDescent="0.2">
      <c r="A20" s="986"/>
      <c r="B20" s="665">
        <v>0.63</v>
      </c>
      <c r="C20" s="666">
        <v>376.2</v>
      </c>
      <c r="D20" s="680">
        <v>392.2</v>
      </c>
      <c r="E20" s="682">
        <f t="shared" si="16"/>
        <v>16</v>
      </c>
      <c r="F20" s="651">
        <f t="shared" si="14"/>
        <v>3.9081582804103565</v>
      </c>
      <c r="G20" s="669">
        <f t="shared" si="15"/>
        <v>60.234489496824629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V20" s="538" t="s">
        <v>107</v>
      </c>
      <c r="W20" s="539">
        <v>0.61</v>
      </c>
      <c r="AB20" s="827">
        <v>5.4212978159400111E-3</v>
      </c>
      <c r="AC20" s="827">
        <v>27.177124978271944</v>
      </c>
      <c r="AD20" s="828">
        <v>9.6387849214584449</v>
      </c>
    </row>
    <row r="21" spans="1:30" ht="21.95" customHeight="1" thickBot="1" x14ac:dyDescent="0.25">
      <c r="A21" s="986"/>
      <c r="B21" s="683">
        <v>0.4</v>
      </c>
      <c r="C21" s="666">
        <v>330.8</v>
      </c>
      <c r="D21" s="680">
        <v>349.5</v>
      </c>
      <c r="E21" s="681">
        <f t="shared" si="16"/>
        <v>18.699999999999989</v>
      </c>
      <c r="F21" s="651">
        <f t="shared" si="14"/>
        <v>4.5676599902296013</v>
      </c>
      <c r="G21" s="669">
        <f t="shared" si="15"/>
        <v>55.666829506595029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V21" s="538" t="s">
        <v>108</v>
      </c>
      <c r="W21" s="539">
        <v>4.4000000000000003E-3</v>
      </c>
      <c r="AB21" s="827">
        <v>3.1647350817680794E-3</v>
      </c>
      <c r="AC21" s="827">
        <v>22.059022345828396</v>
      </c>
      <c r="AD21" s="828">
        <v>7.8235711886035268</v>
      </c>
    </row>
    <row r="22" spans="1:30" ht="21.95" customHeight="1" thickBot="1" x14ac:dyDescent="0.3">
      <c r="A22" s="986"/>
      <c r="B22" s="683">
        <v>0.2</v>
      </c>
      <c r="C22" s="666">
        <v>326.10000000000002</v>
      </c>
      <c r="D22" s="680">
        <v>359.8</v>
      </c>
      <c r="E22" s="682">
        <f t="shared" si="16"/>
        <v>33.699999999999989</v>
      </c>
      <c r="F22" s="651">
        <f t="shared" si="14"/>
        <v>8.2315583781143111</v>
      </c>
      <c r="G22" s="669">
        <f t="shared" si="15"/>
        <v>47.435271128480721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540" t="s">
        <v>119</v>
      </c>
      <c r="V22" s="541" t="s">
        <v>106</v>
      </c>
      <c r="W22" s="542">
        <f>W20/W21</f>
        <v>138.63636363636363</v>
      </c>
      <c r="AB22" s="827">
        <v>1.5909832288929326E-3</v>
      </c>
      <c r="AC22" s="827">
        <v>19.499971029607192</v>
      </c>
      <c r="AD22" s="828">
        <v>6.9159643221762703</v>
      </c>
    </row>
    <row r="23" spans="1:30" ht="21.95" customHeight="1" thickBot="1" x14ac:dyDescent="0.25">
      <c r="A23" s="986"/>
      <c r="B23" s="683">
        <v>0.1</v>
      </c>
      <c r="C23" s="666">
        <v>304.39999999999998</v>
      </c>
      <c r="D23" s="680">
        <v>339.6</v>
      </c>
      <c r="E23" s="681">
        <f t="shared" si="16"/>
        <v>35.200000000000045</v>
      </c>
      <c r="F23" s="651">
        <f t="shared" si="14"/>
        <v>8.597948216902795</v>
      </c>
      <c r="G23" s="684">
        <f t="shared" si="15"/>
        <v>38.837322911577928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</row>
    <row r="24" spans="1:30" ht="21.95" customHeight="1" thickBot="1" x14ac:dyDescent="0.3">
      <c r="A24" s="988"/>
      <c r="B24" s="685">
        <v>6.3E-2</v>
      </c>
      <c r="C24" s="666">
        <v>313.7</v>
      </c>
      <c r="D24" s="680">
        <v>327.5</v>
      </c>
      <c r="E24" s="682">
        <f t="shared" si="16"/>
        <v>13.800000000000011</v>
      </c>
      <c r="F24" s="686">
        <f t="shared" si="14"/>
        <v>3.3707865168539355</v>
      </c>
      <c r="G24" s="687">
        <f t="shared" si="15"/>
        <v>35.466536394723995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V24" s="543" t="s">
        <v>111</v>
      </c>
      <c r="W24" s="544">
        <f>0.0116*(W21*W21)*(0.7+0.03*W19)</f>
        <v>2.3131327999999993E-7</v>
      </c>
    </row>
    <row r="25" spans="1:30" ht="21.95" customHeight="1" thickBot="1" x14ac:dyDescent="0.3">
      <c r="A25" s="812"/>
      <c r="B25" s="670" t="s">
        <v>14</v>
      </c>
      <c r="C25" s="689">
        <v>367.5</v>
      </c>
      <c r="D25" s="690">
        <v>369.2</v>
      </c>
      <c r="E25" s="691">
        <f>D25-C25+(G6-C26)</f>
        <v>145.19999999999999</v>
      </c>
      <c r="F25" s="651">
        <f t="shared" si="14"/>
        <v>35.466536394723981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V25" s="545"/>
      <c r="W25" s="546"/>
    </row>
    <row r="26" spans="1:30" ht="21.95" customHeight="1" x14ac:dyDescent="0.2">
      <c r="A26" s="989" t="s">
        <v>40</v>
      </c>
      <c r="B26" s="990"/>
      <c r="C26" s="692">
        <v>265.8</v>
      </c>
      <c r="D26" s="693" t="s">
        <v>19</v>
      </c>
      <c r="E26" s="694">
        <f>SUM(E12:E25)</f>
        <v>409.40000000000003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V26" s="547" t="s">
        <v>110</v>
      </c>
      <c r="W26" s="548">
        <v>1.16E-3</v>
      </c>
      <c r="X26" s="533"/>
    </row>
    <row r="27" spans="1:30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-0.10000000000002274</v>
      </c>
      <c r="F27" s="700">
        <f>IF((E27/G6*100)&gt;1,"Fehler zu groß",(E27/G6*100))</f>
        <v>-2.4431956999761237E-2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V27" s="549" t="s">
        <v>112</v>
      </c>
      <c r="W27" s="550">
        <f>W26*(W21*W21)*(0.7+0.003*W19)</f>
        <v>1.6461420799999999E-8</v>
      </c>
      <c r="X27" s="551" t="str">
        <f>IF(W22&lt;5.000001,"OK","U größer 5")</f>
        <v>U größer 5</v>
      </c>
    </row>
    <row r="28" spans="1:30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</row>
    <row r="29" spans="1:30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V29" s="552" t="s">
        <v>120</v>
      </c>
      <c r="W29" s="553"/>
      <c r="X29" s="554" t="s">
        <v>113</v>
      </c>
      <c r="Y29" s="555"/>
      <c r="Z29" s="554" t="s">
        <v>114</v>
      </c>
    </row>
    <row r="30" spans="1:30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V30" s="556" t="s">
        <v>115</v>
      </c>
      <c r="W30" s="427" t="str">
        <f>IF(W21&lt;0.61,"OK","ungültig")</f>
        <v>OK</v>
      </c>
      <c r="X30" s="531"/>
      <c r="Y30" s="531"/>
      <c r="Z30" s="535"/>
    </row>
    <row r="31" spans="1:30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V31" s="556" t="s">
        <v>116</v>
      </c>
      <c r="W31" s="566" t="str">
        <f>IF(W21&gt;0.059,"OK","ungültig")</f>
        <v>ungültig</v>
      </c>
      <c r="X31" s="531"/>
      <c r="Y31" s="531"/>
      <c r="Z31" s="535"/>
    </row>
    <row r="32" spans="1:30" ht="21.95" customHeight="1" x14ac:dyDescent="0.35">
      <c r="A32" s="811" t="s">
        <v>80</v>
      </c>
      <c r="B32" s="713"/>
      <c r="C32" s="713"/>
      <c r="D32" s="713"/>
      <c r="E32" s="714"/>
      <c r="F32" s="715">
        <v>6.02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V32" s="556" t="s">
        <v>117</v>
      </c>
      <c r="W32" s="481" t="str">
        <f>IF(W22&gt;0.99,"OK","ungültig")</f>
        <v>OK</v>
      </c>
      <c r="X32" s="531"/>
      <c r="Y32" s="531"/>
      <c r="Z32" s="535"/>
    </row>
    <row r="33" spans="1:26" ht="21.95" customHeight="1" thickBot="1" x14ac:dyDescent="0.3">
      <c r="A33" s="811" t="s">
        <v>45</v>
      </c>
      <c r="B33" s="811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V33" s="557" t="s">
        <v>118</v>
      </c>
      <c r="W33" s="558" t="str">
        <f>IF(W22&gt;20.1,"ungültig","OK")</f>
        <v>ungültig</v>
      </c>
      <c r="X33" s="559"/>
      <c r="Y33" s="559"/>
      <c r="Z33" s="537"/>
    </row>
    <row r="34" spans="1:26" ht="21.95" customHeight="1" x14ac:dyDescent="0.25">
      <c r="A34" s="811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</row>
    <row r="35" spans="1:26" ht="21.95" customHeight="1" x14ac:dyDescent="0.3">
      <c r="A35" s="811" t="s">
        <v>36</v>
      </c>
      <c r="B35" s="713"/>
      <c r="C35" s="713"/>
      <c r="D35" s="713"/>
      <c r="E35" s="714"/>
      <c r="F35" s="715">
        <v>31.38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V35" s="545" t="s">
        <v>121</v>
      </c>
      <c r="W35" s="530" t="s">
        <v>336</v>
      </c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5.1181026324429766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V36" s="560">
        <f>W24</f>
        <v>2.3131327999999993E-7</v>
      </c>
      <c r="W36" s="838">
        <v>1.666E-6</v>
      </c>
    </row>
    <row r="37" spans="1:26" x14ac:dyDescent="0.2">
      <c r="W37" s="842" t="s">
        <v>344</v>
      </c>
    </row>
    <row r="38" spans="1:26" x14ac:dyDescent="0.2">
      <c r="W38" s="530" t="s">
        <v>345</v>
      </c>
    </row>
    <row r="39" spans="1:26" x14ac:dyDescent="0.2">
      <c r="W39" s="530" t="s">
        <v>346</v>
      </c>
    </row>
  </sheetData>
  <sheetProtection selectLockedCells="1"/>
  <protectedRanges>
    <protectedRange password="C4F2" sqref="E3:E4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5"/>
  <dimension ref="A1:Z39"/>
  <sheetViews>
    <sheetView topLeftCell="P10" zoomScale="90" zoomScaleNormal="90" workbookViewId="0">
      <selection activeCell="O12" sqref="O12"/>
    </sheetView>
  </sheetViews>
  <sheetFormatPr baseColWidth="10" defaultRowHeight="12.75" x14ac:dyDescent="0.2"/>
  <cols>
    <col min="1" max="1" width="3.85546875" style="116" customWidth="1"/>
    <col min="2" max="2" width="6.7109375" style="116" customWidth="1"/>
    <col min="3" max="3" width="11.1406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3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3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3" ht="20.100000000000001" customHeight="1" x14ac:dyDescent="0.35">
      <c r="A3" s="117" t="s">
        <v>23</v>
      </c>
      <c r="B3" s="118"/>
      <c r="C3" s="119">
        <v>128</v>
      </c>
      <c r="D3" s="118" t="s">
        <v>25</v>
      </c>
      <c r="E3" s="121">
        <v>39847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3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 t="s">
        <v>90</v>
      </c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3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3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570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3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3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</row>
    <row r="9" spans="1:23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3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3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3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3" ht="19.5" customHeight="1" x14ac:dyDescent="0.2">
      <c r="A13" s="877"/>
      <c r="B13" s="178">
        <v>30</v>
      </c>
      <c r="C13" s="179" t="s">
        <v>21</v>
      </c>
      <c r="D13" s="180">
        <v>100.2</v>
      </c>
      <c r="E13" s="181">
        <f>D13</f>
        <v>100.2</v>
      </c>
      <c r="F13" s="170">
        <f t="shared" si="5"/>
        <v>17.609841827768015</v>
      </c>
      <c r="G13" s="182">
        <f t="shared" si="6"/>
        <v>82.390158172231992</v>
      </c>
    </row>
    <row r="14" spans="1:23" ht="19.5" customHeight="1" thickBot="1" x14ac:dyDescent="0.25">
      <c r="A14" s="877"/>
      <c r="B14" s="178">
        <v>20</v>
      </c>
      <c r="C14" s="179" t="s">
        <v>21</v>
      </c>
      <c r="D14" s="180">
        <v>37.6</v>
      </c>
      <c r="E14" s="181">
        <f>D14</f>
        <v>37.6</v>
      </c>
      <c r="F14" s="170">
        <f t="shared" si="5"/>
        <v>6.6080843585237261</v>
      </c>
      <c r="G14" s="182">
        <f t="shared" si="6"/>
        <v>75.782073813708266</v>
      </c>
    </row>
    <row r="15" spans="1:23" ht="19.5" customHeight="1" thickBot="1" x14ac:dyDescent="0.25">
      <c r="A15" s="878"/>
      <c r="B15" s="191">
        <v>10</v>
      </c>
      <c r="C15" s="192" t="s">
        <v>21</v>
      </c>
      <c r="D15" s="193">
        <v>96.8</v>
      </c>
      <c r="E15" s="175">
        <f>D15</f>
        <v>96.8</v>
      </c>
      <c r="F15" s="194">
        <f t="shared" si="5"/>
        <v>17.012302284710017</v>
      </c>
      <c r="G15" s="195">
        <f t="shared" si="6"/>
        <v>58.769771528998248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</row>
    <row r="16" spans="1:23" ht="19.5" customHeight="1" x14ac:dyDescent="0.2">
      <c r="A16" s="876" t="s">
        <v>13</v>
      </c>
      <c r="B16" s="199">
        <v>6.3</v>
      </c>
      <c r="C16" s="200">
        <v>630.4</v>
      </c>
      <c r="D16" s="201">
        <v>642</v>
      </c>
      <c r="E16" s="202">
        <f>D16-C16</f>
        <v>11.600000000000023</v>
      </c>
      <c r="F16" s="170">
        <f t="shared" si="5"/>
        <v>2.0386643233743449</v>
      </c>
      <c r="G16" s="176">
        <f t="shared" si="6"/>
        <v>56.7311072056239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560.20000000000005</v>
      </c>
      <c r="E17" s="208">
        <f t="shared" ref="E17:E24" si="7">D17-C17</f>
        <v>40.900000000000091</v>
      </c>
      <c r="F17" s="170">
        <f t="shared" si="5"/>
        <v>7.188049209138855</v>
      </c>
      <c r="G17" s="182">
        <f t="shared" si="6"/>
        <v>49.543057996485047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545.9</v>
      </c>
      <c r="E18" s="209">
        <f t="shared" si="7"/>
        <v>39.699999999999989</v>
      </c>
      <c r="F18" s="170">
        <f t="shared" si="5"/>
        <v>6.9771528998242518</v>
      </c>
      <c r="G18" s="182">
        <f t="shared" si="6"/>
        <v>42.565905096660792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407.9</v>
      </c>
      <c r="E19" s="208">
        <f t="shared" si="7"/>
        <v>24.099999999999966</v>
      </c>
      <c r="F19" s="170">
        <f t="shared" si="5"/>
        <v>4.2355008787346158</v>
      </c>
      <c r="G19" s="182">
        <f t="shared" si="6"/>
        <v>38.330404217926173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424.8</v>
      </c>
      <c r="E20" s="209">
        <f t="shared" si="7"/>
        <v>48.600000000000023</v>
      </c>
      <c r="F20" s="170">
        <f t="shared" si="5"/>
        <v>8.5413005272407769</v>
      </c>
      <c r="G20" s="182">
        <f t="shared" si="6"/>
        <v>29.789103690685394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11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405.2</v>
      </c>
      <c r="E21" s="208">
        <f t="shared" si="7"/>
        <v>74.399999999999977</v>
      </c>
      <c r="F21" s="170">
        <f t="shared" si="5"/>
        <v>13.075571177504388</v>
      </c>
      <c r="G21" s="182">
        <f t="shared" si="6"/>
        <v>16.713532513181008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0.125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357.9</v>
      </c>
      <c r="E22" s="209">
        <f t="shared" si="7"/>
        <v>31.799999999999955</v>
      </c>
      <c r="F22" s="170">
        <f t="shared" si="5"/>
        <v>5.5887521968365474</v>
      </c>
      <c r="G22" s="182">
        <f t="shared" si="6"/>
        <v>11.124780316344459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88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320.5</v>
      </c>
      <c r="E23" s="208">
        <f t="shared" si="7"/>
        <v>16.100000000000023</v>
      </c>
      <c r="F23" s="170">
        <f t="shared" si="5"/>
        <v>2.829525483304046</v>
      </c>
      <c r="G23" s="211">
        <f t="shared" si="6"/>
        <v>8.2952548330404134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319.7</v>
      </c>
      <c r="E24" s="209">
        <f t="shared" si="7"/>
        <v>6</v>
      </c>
      <c r="F24" s="213">
        <f t="shared" si="5"/>
        <v>1.0544815465729349</v>
      </c>
      <c r="G24" s="214">
        <f t="shared" si="6"/>
        <v>7.2407732864674781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1.8668749999999995E-4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368.7</v>
      </c>
      <c r="E25" s="218">
        <f>D25-C25+(G6-C26)</f>
        <v>41.199999999999989</v>
      </c>
      <c r="F25" s="170">
        <f t="shared" si="5"/>
        <v>7.2407732864674852</v>
      </c>
      <c r="G25" s="176">
        <f>G24-F25</f>
        <v>-7.1054273576010019E-15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47">
        <v>530</v>
      </c>
      <c r="D26" s="260" t="s">
        <v>19</v>
      </c>
      <c r="E26" s="221">
        <f>SUM(E12:E25)</f>
        <v>569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</v>
      </c>
      <c r="F27" s="310">
        <f>IF((E27/G6*100)&gt;1,"Fehler zu groß",(E27/G6*100))</f>
        <v>0.17543859649122806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1.3285625E-5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1.02E-4</v>
      </c>
      <c r="X29" s="286" t="s">
        <v>113</v>
      </c>
      <c r="Y29" s="288"/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332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(W24+W29)/2</f>
        <v>1.4434374999999997E-4</v>
      </c>
      <c r="W36" s="839">
        <v>3.3780000000000003E-4</v>
      </c>
    </row>
    <row r="39" spans="1:26" x14ac:dyDescent="0.2">
      <c r="E39" s="116">
        <v>1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6"/>
  <dimension ref="A1:AB36"/>
  <sheetViews>
    <sheetView topLeftCell="V7" zoomScale="90" zoomScaleNormal="90" workbookViewId="0">
      <selection activeCell="O12" sqref="O12"/>
    </sheetView>
  </sheetViews>
  <sheetFormatPr baseColWidth="10" defaultRowHeight="12.75" x14ac:dyDescent="0.2"/>
  <cols>
    <col min="1" max="1" width="3.42578125" style="116" customWidth="1"/>
    <col min="2" max="2" width="6.5703125" style="116" customWidth="1"/>
    <col min="3" max="3" width="11.5703125" style="116" customWidth="1"/>
    <col min="4" max="4" width="15.85546875" style="116" customWidth="1"/>
    <col min="5" max="5" width="12" style="116" customWidth="1"/>
    <col min="6" max="6" width="14.8554687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22" width="14.7109375" style="116" customWidth="1"/>
    <col min="23" max="23" width="11.42578125" style="116"/>
    <col min="24" max="24" width="12.5703125" style="116" customWidth="1"/>
    <col min="25" max="16384" width="11.42578125" style="116"/>
  </cols>
  <sheetData>
    <row r="1" spans="1:28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  <c r="V1"/>
      <c r="W1"/>
    </row>
    <row r="2" spans="1:28" ht="18.75" customHeight="1" x14ac:dyDescent="0.2">
      <c r="B2" s="115"/>
      <c r="C2" s="115"/>
      <c r="D2" s="115"/>
      <c r="E2" s="115"/>
      <c r="F2" s="115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  <c r="V2" s="264"/>
      <c r="W2"/>
    </row>
    <row r="3" spans="1:28" ht="20.100000000000001" customHeight="1" x14ac:dyDescent="0.2">
      <c r="A3" s="117" t="s">
        <v>23</v>
      </c>
      <c r="B3" s="118"/>
      <c r="C3" s="119" t="s">
        <v>105</v>
      </c>
      <c r="D3" s="120"/>
      <c r="E3" s="118" t="s">
        <v>25</v>
      </c>
      <c r="F3" s="121">
        <v>39842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  <c r="W3"/>
      <c r="Y3"/>
      <c r="Z3"/>
      <c r="AB3"/>
    </row>
    <row r="4" spans="1:28" ht="20.100000000000001" customHeight="1" x14ac:dyDescent="0.2">
      <c r="A4" s="127" t="s">
        <v>26</v>
      </c>
      <c r="B4" s="127"/>
      <c r="C4" s="128" t="s">
        <v>104</v>
      </c>
      <c r="D4" s="129"/>
      <c r="E4" s="130" t="s">
        <v>24</v>
      </c>
      <c r="F4" s="128" t="s">
        <v>103</v>
      </c>
      <c r="G4" s="131"/>
      <c r="H4" s="115"/>
      <c r="I4" s="132"/>
      <c r="J4" s="133">
        <v>0.5</v>
      </c>
      <c r="K4" s="134"/>
      <c r="L4" s="135"/>
      <c r="M4" s="133">
        <f t="shared" ref="M4:M12" si="0">(L4-1)*1000</f>
        <v>-1000</v>
      </c>
      <c r="N4" s="133">
        <f t="shared" ref="N4:N12" si="1">M4+$F$32</f>
        <v>-1000</v>
      </c>
      <c r="O4" s="136"/>
      <c r="P4" s="133">
        <f t="shared" ref="P4:P12" si="2">N4+O4</f>
        <v>-1000</v>
      </c>
      <c r="Q4" s="137"/>
      <c r="R4" s="133" t="e">
        <f t="shared" ref="R4:R12" si="3">$F$35*P4</f>
        <v>#DIV/0!</v>
      </c>
      <c r="S4" s="138" t="e">
        <f t="shared" ref="S4:S12" si="4">$G$23/100*R4</f>
        <v>#DIV/0!</v>
      </c>
      <c r="W4" s="204"/>
      <c r="X4" s="204"/>
      <c r="Y4" s="13"/>
      <c r="Z4" s="13"/>
      <c r="AA4" s="204"/>
      <c r="AB4"/>
    </row>
    <row r="5" spans="1:28" ht="20.100000000000001" customHeight="1" x14ac:dyDescent="0.2">
      <c r="A5" s="127" t="s">
        <v>27</v>
      </c>
      <c r="B5" s="127"/>
      <c r="C5" s="119" t="s">
        <v>102</v>
      </c>
      <c r="D5" s="122"/>
      <c r="E5" s="139" t="s">
        <v>4</v>
      </c>
      <c r="F5" s="140" t="s">
        <v>101</v>
      </c>
      <c r="G5" s="14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  <c r="W5" s="204"/>
      <c r="X5" s="204"/>
      <c r="Y5" s="204"/>
      <c r="Z5" s="289"/>
      <c r="AA5" s="13"/>
      <c r="AB5"/>
    </row>
    <row r="6" spans="1:28" ht="20.100000000000001" customHeight="1" x14ac:dyDescent="0.3">
      <c r="A6" s="143" t="s">
        <v>28</v>
      </c>
      <c r="B6" s="144"/>
      <c r="C6" s="119" t="s">
        <v>100</v>
      </c>
      <c r="D6" s="145"/>
      <c r="E6" s="127" t="s">
        <v>92</v>
      </c>
      <c r="F6" s="146"/>
      <c r="G6" s="147">
        <v>1138.9000000000001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  <c r="W6" s="204"/>
      <c r="X6" s="13"/>
      <c r="Y6" s="13"/>
      <c r="Z6" s="13"/>
      <c r="AA6" s="13"/>
      <c r="AB6"/>
    </row>
    <row r="7" spans="1:28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  <c r="W7" s="204"/>
      <c r="X7" s="13"/>
      <c r="Y7" s="13"/>
      <c r="Z7" s="13"/>
      <c r="AA7" s="13"/>
      <c r="AB7"/>
    </row>
    <row r="8" spans="1:28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  <c r="W8" s="204"/>
      <c r="X8" s="13"/>
      <c r="Y8" s="13"/>
      <c r="Z8" s="13"/>
      <c r="AA8" s="13"/>
      <c r="AB8"/>
    </row>
    <row r="9" spans="1:28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  <c r="AA9" s="13"/>
      <c r="AB9"/>
    </row>
    <row r="10" spans="1:28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  <c r="AA10" s="204"/>
    </row>
    <row r="11" spans="1:28" ht="19.5" customHeight="1" x14ac:dyDescent="0.2">
      <c r="A11" s="876" t="s">
        <v>12</v>
      </c>
      <c r="B11" s="263">
        <v>40</v>
      </c>
      <c r="C11" s="173" t="s">
        <v>21</v>
      </c>
      <c r="D11" s="174">
        <v>0</v>
      </c>
      <c r="E11" s="175">
        <f>D11</f>
        <v>0</v>
      </c>
      <c r="F11" s="170">
        <f t="shared" ref="F11:F24" si="5">E11/$E$25*100</f>
        <v>0</v>
      </c>
      <c r="G11" s="262">
        <f>100</f>
        <v>100</v>
      </c>
      <c r="I11" s="164" t="s">
        <v>94</v>
      </c>
      <c r="J11" s="142">
        <v>360</v>
      </c>
      <c r="K11" s="177"/>
      <c r="L11" s="136"/>
      <c r="M11" s="133">
        <f t="shared" si="0"/>
        <v>-1000</v>
      </c>
      <c r="N11" s="133">
        <f t="shared" si="1"/>
        <v>-1000</v>
      </c>
      <c r="O11" s="165"/>
      <c r="P11" s="133">
        <f t="shared" si="2"/>
        <v>-1000</v>
      </c>
      <c r="Q11" s="137"/>
      <c r="R11" s="133" t="e">
        <f t="shared" si="3"/>
        <v>#DIV/0!</v>
      </c>
      <c r="S11" s="138" t="e">
        <f t="shared" si="4"/>
        <v>#DIV/0!</v>
      </c>
    </row>
    <row r="12" spans="1:28" ht="19.5" customHeight="1" thickBot="1" x14ac:dyDescent="0.25">
      <c r="A12" s="877"/>
      <c r="B12" s="178">
        <v>30</v>
      </c>
      <c r="C12" s="179" t="s">
        <v>21</v>
      </c>
      <c r="D12" s="180">
        <v>114.7</v>
      </c>
      <c r="E12" s="181">
        <f>D12</f>
        <v>114.7</v>
      </c>
      <c r="F12" s="170">
        <f t="shared" si="5"/>
        <v>10.085289721269676</v>
      </c>
      <c r="G12" s="182">
        <f t="shared" ref="G12:G24" si="6">G11-F12</f>
        <v>89.914710278730325</v>
      </c>
      <c r="I12" s="183" t="s">
        <v>95</v>
      </c>
      <c r="J12" s="184">
        <v>1440</v>
      </c>
      <c r="K12" s="185"/>
      <c r="L12" s="186"/>
      <c r="M12" s="187">
        <f t="shared" si="0"/>
        <v>-1000</v>
      </c>
      <c r="N12" s="187">
        <f t="shared" si="1"/>
        <v>-1000</v>
      </c>
      <c r="O12" s="188"/>
      <c r="P12" s="187">
        <f t="shared" si="2"/>
        <v>-1000</v>
      </c>
      <c r="Q12" s="189"/>
      <c r="R12" s="187" t="e">
        <f t="shared" si="3"/>
        <v>#DIV/0!</v>
      </c>
      <c r="S12" s="190" t="e">
        <f t="shared" si="4"/>
        <v>#DIV/0!</v>
      </c>
    </row>
    <row r="13" spans="1:28" ht="19.5" customHeight="1" x14ac:dyDescent="0.2">
      <c r="A13" s="877"/>
      <c r="B13" s="178">
        <v>20</v>
      </c>
      <c r="C13" s="179" t="s">
        <v>21</v>
      </c>
      <c r="D13" s="180">
        <v>104.1</v>
      </c>
      <c r="E13" s="181">
        <f>D13</f>
        <v>104.1</v>
      </c>
      <c r="F13" s="170">
        <f t="shared" si="5"/>
        <v>9.1532577156423134</v>
      </c>
      <c r="G13" s="182">
        <f t="shared" si="6"/>
        <v>80.761452563088014</v>
      </c>
    </row>
    <row r="14" spans="1:28" ht="19.5" customHeight="1" thickBot="1" x14ac:dyDescent="0.25">
      <c r="A14" s="878"/>
      <c r="B14" s="191">
        <v>10</v>
      </c>
      <c r="C14" s="192" t="s">
        <v>21</v>
      </c>
      <c r="D14" s="193">
        <v>258.3</v>
      </c>
      <c r="E14" s="175">
        <f>D14</f>
        <v>258.3</v>
      </c>
      <c r="F14" s="194">
        <f t="shared" si="5"/>
        <v>22.711685571089429</v>
      </c>
      <c r="G14" s="195">
        <f t="shared" si="6"/>
        <v>58.049766991998581</v>
      </c>
      <c r="I14" s="196"/>
      <c r="J14" s="197"/>
      <c r="K14" s="197"/>
      <c r="L14" s="197"/>
      <c r="M14" s="197"/>
      <c r="N14" s="197"/>
      <c r="O14" s="197"/>
      <c r="P14" s="197"/>
      <c r="Q14" s="197"/>
      <c r="R14" s="197"/>
      <c r="S14" s="198"/>
    </row>
    <row r="15" spans="1:28" ht="19.5" customHeight="1" x14ac:dyDescent="0.2">
      <c r="A15" s="876" t="s">
        <v>13</v>
      </c>
      <c r="B15" s="199">
        <v>6.3</v>
      </c>
      <c r="C15" s="200">
        <v>630.4</v>
      </c>
      <c r="D15" s="201">
        <v>681.1</v>
      </c>
      <c r="E15" s="202">
        <f t="shared" ref="E15:E24" si="7">D15-C15</f>
        <v>50.700000000000045</v>
      </c>
      <c r="F15" s="170">
        <f t="shared" si="5"/>
        <v>4.4579266684252223</v>
      </c>
      <c r="G15" s="176">
        <f t="shared" si="6"/>
        <v>53.591840323573358</v>
      </c>
      <c r="I15" s="203"/>
      <c r="J15" s="204"/>
      <c r="K15" s="204"/>
      <c r="L15" s="204"/>
      <c r="M15" s="204"/>
      <c r="N15" s="204"/>
      <c r="O15" s="204"/>
      <c r="P15" s="204"/>
      <c r="Q15" s="204"/>
      <c r="R15" s="204"/>
      <c r="S15" s="205"/>
      <c r="V15" s="291" t="s">
        <v>122</v>
      </c>
      <c r="W15" s="273"/>
      <c r="X15" s="13"/>
      <c r="Y15" s="13"/>
      <c r="Z15" s="13"/>
    </row>
    <row r="16" spans="1:28" ht="22.5" customHeight="1" x14ac:dyDescent="0.2">
      <c r="A16" s="877"/>
      <c r="B16" s="206">
        <v>4</v>
      </c>
      <c r="C16" s="179">
        <v>519.29999999999995</v>
      </c>
      <c r="D16" s="207">
        <v>614.9</v>
      </c>
      <c r="E16" s="208">
        <f t="shared" si="7"/>
        <v>95.600000000000023</v>
      </c>
      <c r="F16" s="170">
        <f t="shared" si="5"/>
        <v>8.4058735601864107</v>
      </c>
      <c r="G16" s="182">
        <f t="shared" si="6"/>
        <v>45.185966763386944</v>
      </c>
      <c r="I16" s="203"/>
      <c r="J16" s="204"/>
      <c r="K16" s="204"/>
      <c r="L16" s="204"/>
      <c r="M16" s="204"/>
      <c r="N16" s="204"/>
      <c r="O16" s="204"/>
      <c r="P16" s="204"/>
      <c r="Q16" s="204"/>
      <c r="R16" s="204"/>
      <c r="S16" s="205"/>
      <c r="V16" s="292" t="s">
        <v>123</v>
      </c>
      <c r="W16" s="279"/>
      <c r="X16" s="204"/>
      <c r="Y16" s="204"/>
      <c r="Z16" s="204"/>
    </row>
    <row r="17" spans="1:26" ht="21.95" customHeight="1" thickBot="1" x14ac:dyDescent="0.25">
      <c r="A17" s="877"/>
      <c r="B17" s="206">
        <v>2</v>
      </c>
      <c r="C17" s="179">
        <v>506.2</v>
      </c>
      <c r="D17" s="207">
        <v>584.79999999999995</v>
      </c>
      <c r="E17" s="209">
        <f t="shared" si="7"/>
        <v>78.599999999999966</v>
      </c>
      <c r="F17" s="170">
        <f t="shared" si="5"/>
        <v>6.9111052492745966</v>
      </c>
      <c r="G17" s="182">
        <f t="shared" si="6"/>
        <v>38.274861514112345</v>
      </c>
      <c r="I17" s="203"/>
      <c r="J17" s="204"/>
      <c r="K17" s="204"/>
      <c r="L17" s="204"/>
      <c r="M17" s="204"/>
      <c r="N17" s="204"/>
      <c r="O17" s="204"/>
      <c r="P17" s="204"/>
      <c r="Q17" s="204"/>
      <c r="R17" s="204"/>
      <c r="S17" s="205"/>
      <c r="V17" s="293" t="s">
        <v>124</v>
      </c>
      <c r="W17" s="283"/>
    </row>
    <row r="18" spans="1:26" ht="21.95" customHeight="1" x14ac:dyDescent="0.2">
      <c r="A18" s="877"/>
      <c r="B18" s="206">
        <v>1</v>
      </c>
      <c r="C18" s="179">
        <v>383.8</v>
      </c>
      <c r="D18" s="207">
        <v>430.6</v>
      </c>
      <c r="E18" s="208">
        <f t="shared" si="7"/>
        <v>46.800000000000011</v>
      </c>
      <c r="F18" s="170">
        <f t="shared" si="5"/>
        <v>4.1150092323925112</v>
      </c>
      <c r="G18" s="182">
        <f t="shared" si="6"/>
        <v>34.159852281719836</v>
      </c>
      <c r="I18" s="203"/>
      <c r="J18" s="204"/>
      <c r="K18" s="204"/>
      <c r="L18" s="204"/>
      <c r="M18" s="204"/>
      <c r="N18" s="204"/>
      <c r="O18" s="204"/>
      <c r="P18" s="204"/>
      <c r="Q18" s="204"/>
      <c r="R18" s="204"/>
      <c r="S18" s="205"/>
    </row>
    <row r="19" spans="1:26" ht="21.95" customHeight="1" x14ac:dyDescent="0.2">
      <c r="A19" s="877"/>
      <c r="B19" s="178">
        <v>0.63</v>
      </c>
      <c r="C19" s="179">
        <v>376.2</v>
      </c>
      <c r="D19" s="207">
        <v>469.6</v>
      </c>
      <c r="E19" s="209">
        <f t="shared" si="7"/>
        <v>93.400000000000034</v>
      </c>
      <c r="F19" s="170">
        <f t="shared" si="5"/>
        <v>8.2124329552448838</v>
      </c>
      <c r="G19" s="182">
        <f t="shared" si="6"/>
        <v>25.94741932647495</v>
      </c>
      <c r="I19" s="203"/>
      <c r="J19" s="204"/>
      <c r="K19" s="204"/>
      <c r="L19" s="204"/>
      <c r="M19" s="204"/>
      <c r="N19" s="204"/>
      <c r="O19" s="204"/>
      <c r="P19" s="204"/>
      <c r="Q19" s="204"/>
      <c r="R19" s="204"/>
      <c r="S19" s="205"/>
      <c r="V19" s="264" t="s">
        <v>109</v>
      </c>
      <c r="W19" s="266">
        <v>11</v>
      </c>
    </row>
    <row r="20" spans="1:26" ht="21.95" customHeight="1" x14ac:dyDescent="0.2">
      <c r="A20" s="877"/>
      <c r="B20" s="210">
        <v>0.4</v>
      </c>
      <c r="C20" s="179">
        <v>330.8</v>
      </c>
      <c r="D20" s="207">
        <v>477.8</v>
      </c>
      <c r="E20" s="208">
        <f t="shared" si="7"/>
        <v>147</v>
      </c>
      <c r="F20" s="170">
        <f t="shared" si="5"/>
        <v>12.925349512002112</v>
      </c>
      <c r="G20" s="182">
        <f t="shared" si="6"/>
        <v>13.022069814472838</v>
      </c>
      <c r="I20" s="203"/>
      <c r="J20" s="204"/>
      <c r="K20" s="204"/>
      <c r="L20" s="204"/>
      <c r="M20" s="204"/>
      <c r="N20" s="204"/>
      <c r="O20" s="204"/>
      <c r="P20" s="204"/>
      <c r="Q20" s="204"/>
      <c r="R20" s="204"/>
      <c r="S20" s="205"/>
      <c r="V20" s="264" t="s">
        <v>107</v>
      </c>
      <c r="W20" s="266">
        <v>11</v>
      </c>
    </row>
    <row r="21" spans="1:26" ht="21.95" customHeight="1" thickBot="1" x14ac:dyDescent="0.25">
      <c r="A21" s="877"/>
      <c r="B21" s="210">
        <v>0.2</v>
      </c>
      <c r="C21" s="179">
        <v>326.10000000000002</v>
      </c>
      <c r="D21" s="207">
        <v>382.5</v>
      </c>
      <c r="E21" s="209">
        <f t="shared" si="7"/>
        <v>56.399999999999977</v>
      </c>
      <c r="F21" s="170">
        <f t="shared" si="5"/>
        <v>4.9591136903191755</v>
      </c>
      <c r="G21" s="182">
        <f t="shared" si="6"/>
        <v>8.0629561241536614</v>
      </c>
      <c r="I21" s="203"/>
      <c r="J21" s="204"/>
      <c r="K21" s="204"/>
      <c r="L21" s="204"/>
      <c r="M21" s="204"/>
      <c r="N21" s="204"/>
      <c r="O21" s="204"/>
      <c r="P21" s="204"/>
      <c r="Q21" s="204"/>
      <c r="R21" s="204"/>
      <c r="S21" s="205"/>
      <c r="V21" s="264" t="s">
        <v>108</v>
      </c>
      <c r="W21" s="266">
        <v>0.27</v>
      </c>
    </row>
    <row r="22" spans="1:26" ht="21.95" customHeight="1" thickBot="1" x14ac:dyDescent="0.3">
      <c r="A22" s="877"/>
      <c r="B22" s="210">
        <v>0.1</v>
      </c>
      <c r="C22" s="179">
        <v>304.39999999999998</v>
      </c>
      <c r="D22" s="207">
        <v>326</v>
      </c>
      <c r="E22" s="208">
        <f t="shared" si="7"/>
        <v>21.600000000000023</v>
      </c>
      <c r="F22" s="170">
        <f t="shared" si="5"/>
        <v>1.8992350303350065</v>
      </c>
      <c r="G22" s="211">
        <f t="shared" si="6"/>
        <v>6.1637210938186549</v>
      </c>
      <c r="I22" s="203"/>
      <c r="J22" s="204"/>
      <c r="K22" s="204"/>
      <c r="L22" s="204"/>
      <c r="M22" s="204"/>
      <c r="N22" s="204"/>
      <c r="O22" s="204"/>
      <c r="P22" s="204"/>
      <c r="Q22" s="204"/>
      <c r="R22" s="204"/>
      <c r="S22" s="205"/>
      <c r="U22" s="284" t="s">
        <v>119</v>
      </c>
      <c r="V22" s="285" t="s">
        <v>106</v>
      </c>
      <c r="W22" s="290">
        <f>W20/W21</f>
        <v>40.74074074074074</v>
      </c>
    </row>
    <row r="23" spans="1:26" ht="21.95" customHeight="1" thickBot="1" x14ac:dyDescent="0.25">
      <c r="A23" s="879"/>
      <c r="B23" s="212">
        <v>6.3E-2</v>
      </c>
      <c r="C23" s="179">
        <v>313.7</v>
      </c>
      <c r="D23" s="207">
        <v>322.5</v>
      </c>
      <c r="E23" s="209">
        <f t="shared" si="7"/>
        <v>8.8000000000000114</v>
      </c>
      <c r="F23" s="213">
        <f t="shared" si="5"/>
        <v>0.77376241976611393</v>
      </c>
      <c r="G23" s="214">
        <f t="shared" si="6"/>
        <v>5.3899586740525409</v>
      </c>
      <c r="I23" s="203"/>
      <c r="J23" s="204"/>
      <c r="K23" s="204"/>
      <c r="L23" s="204"/>
      <c r="M23" s="204"/>
      <c r="N23" s="204"/>
      <c r="O23" s="204"/>
      <c r="P23" s="204"/>
      <c r="Q23" s="204"/>
      <c r="R23" s="204"/>
      <c r="S23" s="205"/>
    </row>
    <row r="24" spans="1:26" ht="21.95" customHeight="1" thickBot="1" x14ac:dyDescent="0.3">
      <c r="A24" s="215"/>
      <c r="B24" s="191" t="s">
        <v>14</v>
      </c>
      <c r="C24" s="216">
        <v>367.5</v>
      </c>
      <c r="D24" s="217">
        <f>370.1+58.7</f>
        <v>428.8</v>
      </c>
      <c r="E24" s="261">
        <f t="shared" si="7"/>
        <v>61.300000000000011</v>
      </c>
      <c r="F24" s="170">
        <f t="shared" si="5"/>
        <v>5.3899586740525827</v>
      </c>
      <c r="G24" s="176">
        <f t="shared" si="6"/>
        <v>-4.1744385725905886E-14</v>
      </c>
      <c r="I24" s="203"/>
      <c r="J24" s="204"/>
      <c r="K24" s="204"/>
      <c r="L24" s="204"/>
      <c r="M24" s="204"/>
      <c r="N24" s="204"/>
      <c r="O24" s="204"/>
      <c r="P24" s="204"/>
      <c r="Q24" s="204"/>
      <c r="R24" s="204"/>
      <c r="S24" s="205"/>
      <c r="V24" s="269" t="s">
        <v>111</v>
      </c>
      <c r="W24" s="270">
        <f>0.0116*(W21*W21)*(0.7+0.03*W19)</f>
        <v>8.7100919999999991E-4</v>
      </c>
    </row>
    <row r="25" spans="1:26" ht="21.95" customHeight="1" thickBot="1" x14ac:dyDescent="0.3">
      <c r="A25" s="1002" t="s">
        <v>19</v>
      </c>
      <c r="B25" s="1003"/>
      <c r="C25" s="259" t="s">
        <v>21</v>
      </c>
      <c r="D25" s="258" t="s">
        <v>20</v>
      </c>
      <c r="E25" s="221">
        <f>SUM(E11:E24)</f>
        <v>1137.2999999999997</v>
      </c>
      <c r="F25" s="222">
        <f>SUM(F11:F24)</f>
        <v>100.00000000000003</v>
      </c>
      <c r="G25" s="223" t="s">
        <v>20</v>
      </c>
      <c r="I25" s="203"/>
      <c r="J25" s="204"/>
      <c r="K25" s="204"/>
      <c r="L25" s="204"/>
      <c r="M25" s="204"/>
      <c r="N25" s="204"/>
      <c r="O25" s="204"/>
      <c r="P25" s="204"/>
      <c r="Q25" s="204"/>
      <c r="R25" s="204"/>
      <c r="S25" s="205"/>
      <c r="V25" s="265"/>
      <c r="W25" s="268"/>
    </row>
    <row r="26" spans="1:26" ht="21.95" customHeight="1" thickBot="1" x14ac:dyDescent="0.25">
      <c r="A26" s="224"/>
      <c r="B26" s="227" t="s">
        <v>22</v>
      </c>
      <c r="C26" s="257" t="s">
        <v>21</v>
      </c>
      <c r="D26" s="256" t="s">
        <v>20</v>
      </c>
      <c r="E26" s="228">
        <f>G6-E25</f>
        <v>1.6000000000003638</v>
      </c>
      <c r="F26" s="255">
        <f>IF((E26/G6*100)&gt;1,"Fehler zu groß",(E26/G6*100))</f>
        <v>0.1404864342787219</v>
      </c>
      <c r="G26" s="230" t="s">
        <v>20</v>
      </c>
      <c r="I26" s="203"/>
      <c r="J26" s="204"/>
      <c r="K26" s="204"/>
      <c r="L26" s="204"/>
      <c r="M26" s="204"/>
      <c r="N26" s="204"/>
      <c r="O26" s="204"/>
      <c r="P26" s="204"/>
      <c r="Q26" s="204"/>
      <c r="R26" s="204"/>
      <c r="S26" s="205"/>
      <c r="V26" s="271" t="s">
        <v>110</v>
      </c>
      <c r="W26" s="272">
        <v>1.16E-3</v>
      </c>
      <c r="X26" s="273"/>
    </row>
    <row r="27" spans="1:26" ht="16.5" customHeight="1" thickBot="1" x14ac:dyDescent="0.3">
      <c r="A27" s="204"/>
      <c r="B27" s="231"/>
      <c r="C27" s="231"/>
      <c r="D27" s="232"/>
      <c r="E27" s="232"/>
      <c r="F27" s="233"/>
      <c r="G27" s="233"/>
      <c r="I27" s="203"/>
      <c r="J27" s="204"/>
      <c r="K27" s="204"/>
      <c r="L27" s="204"/>
      <c r="M27" s="204"/>
      <c r="N27" s="204"/>
      <c r="O27" s="204"/>
      <c r="P27" s="204"/>
      <c r="Q27" s="204"/>
      <c r="R27" s="204"/>
      <c r="S27" s="205"/>
      <c r="V27" s="274" t="s">
        <v>112</v>
      </c>
      <c r="W27" s="275">
        <f>W26*(W21*W21)*(0.7+0.003*W19)</f>
        <v>6.1985412000000004E-5</v>
      </c>
      <c r="X27" s="276" t="str">
        <f>IF(W22&lt;5.000001,"OK","U größer 5")</f>
        <v>U größer 5</v>
      </c>
    </row>
    <row r="28" spans="1:26" ht="18" customHeight="1" thickBot="1" x14ac:dyDescent="0.25">
      <c r="A28" s="884" t="s">
        <v>37</v>
      </c>
      <c r="B28" s="884"/>
      <c r="C28" s="884"/>
      <c r="D28" s="884"/>
      <c r="E28" s="884"/>
      <c r="F28" s="884"/>
      <c r="G28" s="884"/>
      <c r="I28" s="203"/>
      <c r="J28" s="204"/>
      <c r="K28" s="204"/>
      <c r="L28" s="204"/>
      <c r="M28" s="204"/>
      <c r="N28" s="204"/>
      <c r="O28" s="204"/>
      <c r="P28" s="204"/>
      <c r="Q28" s="204"/>
      <c r="R28" s="204"/>
      <c r="S28" s="205"/>
    </row>
    <row r="29" spans="1:26" ht="18" customHeight="1" thickBot="1" x14ac:dyDescent="0.3">
      <c r="A29" s="234" t="s">
        <v>38</v>
      </c>
      <c r="B29" s="234"/>
      <c r="C29" s="234"/>
      <c r="D29" s="234"/>
      <c r="E29" s="234"/>
      <c r="F29" s="234"/>
      <c r="G29" s="234"/>
      <c r="I29" s="203"/>
      <c r="J29" s="235"/>
      <c r="K29" s="235"/>
      <c r="L29" s="235"/>
      <c r="M29" s="235"/>
      <c r="N29" s="204"/>
      <c r="O29" s="204"/>
      <c r="P29" s="204"/>
      <c r="Q29" s="204"/>
      <c r="R29" s="204"/>
      <c r="S29" s="205"/>
      <c r="V29" s="277" t="s">
        <v>120</v>
      </c>
      <c r="W29" s="287">
        <v>4.2000000000000002E-4</v>
      </c>
      <c r="X29" s="286" t="s">
        <v>113</v>
      </c>
      <c r="Y29" s="288"/>
      <c r="Z29" s="286" t="s">
        <v>114</v>
      </c>
    </row>
    <row r="30" spans="1:26" ht="21.95" customHeight="1" x14ac:dyDescent="0.2">
      <c r="I30" s="236"/>
      <c r="J30" s="237"/>
      <c r="K30" s="237"/>
      <c r="L30" s="237"/>
      <c r="M30" s="204"/>
      <c r="N30" s="204"/>
      <c r="O30" s="204"/>
      <c r="P30" s="204"/>
      <c r="Q30" s="204"/>
      <c r="R30" s="204"/>
      <c r="S30" s="205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238" t="s">
        <v>96</v>
      </c>
      <c r="B31" s="239"/>
      <c r="C31" s="239"/>
      <c r="D31" s="239"/>
      <c r="E31" s="240"/>
      <c r="F31" s="241"/>
      <c r="G31" s="242" t="s">
        <v>97</v>
      </c>
      <c r="I31" s="236"/>
      <c r="J31" s="237"/>
      <c r="K31" s="243"/>
      <c r="L31" s="243"/>
      <c r="M31" s="204"/>
      <c r="N31" s="204"/>
      <c r="O31" s="204"/>
      <c r="P31" s="204"/>
      <c r="Q31" s="204"/>
      <c r="R31" s="204"/>
      <c r="S31" s="205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5">
      <c r="A32" s="238" t="s">
        <v>98</v>
      </c>
      <c r="B32" s="239"/>
      <c r="C32" s="239"/>
      <c r="D32" s="239"/>
      <c r="E32" s="240"/>
      <c r="F32" s="244"/>
      <c r="G32" s="245" t="s">
        <v>5</v>
      </c>
      <c r="I32" s="246"/>
      <c r="J32" s="243"/>
      <c r="K32" s="243"/>
      <c r="L32" s="247"/>
      <c r="M32" s="204"/>
      <c r="N32" s="204"/>
      <c r="O32" s="204"/>
      <c r="P32" s="204"/>
      <c r="Q32" s="204"/>
      <c r="R32" s="204"/>
      <c r="S32" s="205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</v>
      </c>
      <c r="B33" s="239"/>
      <c r="C33" s="239"/>
      <c r="D33" s="239"/>
      <c r="E33" s="240"/>
      <c r="F33" s="244"/>
      <c r="G33" s="245" t="s">
        <v>6</v>
      </c>
      <c r="I33" s="246"/>
      <c r="J33" s="243"/>
      <c r="K33" s="243"/>
      <c r="L33" s="247"/>
      <c r="M33" s="204"/>
      <c r="N33" s="204"/>
      <c r="O33" s="204"/>
      <c r="P33" s="204"/>
      <c r="Q33" s="204"/>
      <c r="R33" s="204"/>
      <c r="S33" s="205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3">
      <c r="A34" s="238" t="s">
        <v>36</v>
      </c>
      <c r="B34" s="239"/>
      <c r="C34" s="239"/>
      <c r="D34" s="239"/>
      <c r="E34" s="240"/>
      <c r="F34" s="244"/>
      <c r="G34" s="245" t="s">
        <v>7</v>
      </c>
      <c r="I34" s="246"/>
      <c r="J34" s="243"/>
      <c r="K34" s="243"/>
      <c r="L34" s="247"/>
      <c r="M34" s="204"/>
      <c r="N34" s="204"/>
      <c r="O34" s="204"/>
      <c r="P34" s="204"/>
      <c r="Q34" s="204"/>
      <c r="R34" s="204"/>
      <c r="S34" s="205"/>
    </row>
    <row r="35" spans="1:26" ht="16.5" x14ac:dyDescent="0.3">
      <c r="A35" s="238" t="s">
        <v>10</v>
      </c>
      <c r="B35" s="248"/>
      <c r="C35" s="248"/>
      <c r="D35" s="249"/>
      <c r="E35" s="240"/>
      <c r="F35" s="250" t="e">
        <f>100/F34*F33/(F33-1)</f>
        <v>#DIV/0!</v>
      </c>
      <c r="G35" s="251"/>
      <c r="I35" s="252"/>
      <c r="J35" s="253"/>
      <c r="K35" s="253"/>
      <c r="L35" s="253"/>
      <c r="M35" s="253"/>
      <c r="N35" s="253"/>
      <c r="O35" s="253"/>
      <c r="P35" s="253"/>
      <c r="Q35" s="253"/>
      <c r="R35" s="253"/>
      <c r="S35" s="254"/>
      <c r="V35" s="265" t="s">
        <v>121</v>
      </c>
      <c r="W35" s="116" t="s">
        <v>332</v>
      </c>
    </row>
    <row r="36" spans="1:26" ht="15.75" x14ac:dyDescent="0.25">
      <c r="V36" s="267">
        <f>(W24+W29)/2</f>
        <v>6.4550459999999997E-4</v>
      </c>
      <c r="W36" s="839">
        <v>5.3680000000000004E-4</v>
      </c>
    </row>
  </sheetData>
  <sheetProtection selectLockedCells="1"/>
  <protectedRanges>
    <protectedRange password="C4F2" sqref="C3:D6 F3:G5 G6 D11:D24 F31:F34 K4:L12 O4:O12 Q4:Q12" name="Bereich1"/>
  </protectedRanges>
  <mergeCells count="17">
    <mergeCell ref="S1:S2"/>
    <mergeCell ref="K1:K2"/>
    <mergeCell ref="L1:L2"/>
    <mergeCell ref="M1:M2"/>
    <mergeCell ref="N1:N2"/>
    <mergeCell ref="O1:O2"/>
    <mergeCell ref="P1:P2"/>
    <mergeCell ref="A11:A14"/>
    <mergeCell ref="A15:A23"/>
    <mergeCell ref="A28:G28"/>
    <mergeCell ref="Q1:Q2"/>
    <mergeCell ref="R1:R2"/>
    <mergeCell ref="G8:G9"/>
    <mergeCell ref="A25:B25"/>
    <mergeCell ref="A1:G1"/>
    <mergeCell ref="E8:F8"/>
    <mergeCell ref="I1:J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7"/>
  <dimension ref="A1:AE36"/>
  <sheetViews>
    <sheetView zoomScale="85" zoomScaleNormal="85" workbookViewId="0">
      <selection activeCell="T4" sqref="T4:T12"/>
    </sheetView>
  </sheetViews>
  <sheetFormatPr baseColWidth="10" defaultRowHeight="12.75" x14ac:dyDescent="0.2"/>
  <cols>
    <col min="1" max="1" width="4.42578125" style="530" customWidth="1"/>
    <col min="2" max="2" width="5.7109375" style="530" customWidth="1"/>
    <col min="3" max="3" width="11.5703125" style="530" customWidth="1"/>
    <col min="4" max="4" width="15.42578125" style="530" customWidth="1"/>
    <col min="5" max="5" width="12.7109375" style="530" customWidth="1"/>
    <col min="6" max="6" width="16.28515625" style="530" customWidth="1"/>
    <col min="7" max="7" width="11" style="530" customWidth="1"/>
    <col min="8" max="8" width="2.140625" style="530" customWidth="1"/>
    <col min="9" max="9" width="6.140625" style="530" customWidth="1"/>
    <col min="10" max="10" width="6.42578125" style="530" customWidth="1"/>
    <col min="11" max="11" width="8.7109375" style="530" customWidth="1"/>
    <col min="12" max="12" width="11.28515625" style="530" customWidth="1"/>
    <col min="13" max="13" width="10.85546875" style="530" customWidth="1"/>
    <col min="14" max="14" width="12.42578125" style="530" customWidth="1"/>
    <col min="15" max="15" width="10.42578125" style="530" customWidth="1"/>
    <col min="16" max="16" width="12.85546875" style="530" customWidth="1"/>
    <col min="17" max="17" width="15.28515625" style="530" customWidth="1"/>
    <col min="18" max="18" width="11.7109375" style="530" customWidth="1"/>
    <col min="19" max="19" width="20.5703125" style="530" customWidth="1"/>
    <col min="20" max="20" width="5" style="530" customWidth="1"/>
    <col min="21" max="21" width="12.140625" style="530" customWidth="1"/>
    <col min="22" max="22" width="11.42578125" style="530"/>
    <col min="23" max="23" width="15.5703125" style="530" customWidth="1"/>
    <col min="24" max="24" width="11.42578125" style="530"/>
    <col min="25" max="25" width="18.28515625" style="530" customWidth="1"/>
    <col min="26" max="26" width="14.140625" style="530" customWidth="1"/>
    <col min="27" max="27" width="3.140625" style="530" customWidth="1"/>
    <col min="28" max="28" width="15.85546875" style="530" customWidth="1"/>
    <col min="29" max="29" width="14" style="530" customWidth="1"/>
    <col min="30" max="16384" width="11.42578125" style="530"/>
  </cols>
  <sheetData>
    <row r="1" spans="1:31" ht="20.25" customHeight="1" x14ac:dyDescent="0.3">
      <c r="A1" s="975" t="s">
        <v>2</v>
      </c>
      <c r="B1" s="975"/>
      <c r="C1" s="975"/>
      <c r="D1" s="975"/>
      <c r="E1" s="975"/>
      <c r="F1" s="975"/>
      <c r="G1" s="975"/>
      <c r="H1" s="567"/>
      <c r="I1" s="976" t="s">
        <v>70</v>
      </c>
      <c r="J1" s="977"/>
      <c r="K1" s="967" t="s">
        <v>30</v>
      </c>
      <c r="L1" s="967" t="s">
        <v>74</v>
      </c>
      <c r="M1" s="967" t="s">
        <v>29</v>
      </c>
      <c r="N1" s="967" t="s">
        <v>32</v>
      </c>
      <c r="O1" s="964" t="s">
        <v>75</v>
      </c>
      <c r="P1" s="964" t="s">
        <v>76</v>
      </c>
      <c r="Q1" s="967" t="s">
        <v>77</v>
      </c>
      <c r="R1" s="967" t="s">
        <v>39</v>
      </c>
      <c r="S1" s="970" t="s">
        <v>31</v>
      </c>
      <c r="U1" s="568" t="s">
        <v>49</v>
      </c>
      <c r="V1" s="569" t="s">
        <v>48</v>
      </c>
      <c r="W1" s="570" t="s">
        <v>65</v>
      </c>
      <c r="X1" s="973" t="s">
        <v>63</v>
      </c>
      <c r="Y1" s="571" t="s">
        <v>52</v>
      </c>
      <c r="Z1" s="983" t="s">
        <v>62</v>
      </c>
      <c r="AA1" s="572"/>
      <c r="AB1" s="983" t="s">
        <v>66</v>
      </c>
      <c r="AC1" s="983" t="s">
        <v>60</v>
      </c>
      <c r="AD1" s="983" t="s">
        <v>68</v>
      </c>
      <c r="AE1" s="958" t="s">
        <v>69</v>
      </c>
    </row>
    <row r="2" spans="1:31" ht="18.75" customHeight="1" x14ac:dyDescent="0.35">
      <c r="B2" s="567"/>
      <c r="C2" s="567"/>
      <c r="D2" s="567"/>
      <c r="E2" s="567"/>
      <c r="F2" s="573"/>
      <c r="G2" s="567"/>
      <c r="H2" s="567"/>
      <c r="I2" s="978"/>
      <c r="J2" s="979"/>
      <c r="K2" s="968"/>
      <c r="L2" s="969"/>
      <c r="M2" s="968"/>
      <c r="N2" s="968"/>
      <c r="O2" s="965"/>
      <c r="P2" s="965"/>
      <c r="Q2" s="968"/>
      <c r="R2" s="968"/>
      <c r="S2" s="971"/>
      <c r="U2" s="574" t="s">
        <v>53</v>
      </c>
      <c r="V2" s="575" t="s">
        <v>47</v>
      </c>
      <c r="W2" s="576" t="s">
        <v>50</v>
      </c>
      <c r="X2" s="974"/>
      <c r="Y2" s="577" t="s">
        <v>67</v>
      </c>
      <c r="Z2" s="984"/>
      <c r="AA2" s="578"/>
      <c r="AB2" s="984"/>
      <c r="AC2" s="984"/>
      <c r="AD2" s="984"/>
      <c r="AE2" s="959"/>
    </row>
    <row r="3" spans="1:31" ht="20.100000000000001" customHeight="1" x14ac:dyDescent="0.35">
      <c r="A3" s="579" t="s">
        <v>23</v>
      </c>
      <c r="B3" s="580"/>
      <c r="C3" s="581">
        <v>130</v>
      </c>
      <c r="D3" s="580" t="s">
        <v>25</v>
      </c>
      <c r="E3" s="582">
        <v>39860</v>
      </c>
      <c r="F3" s="583" t="s">
        <v>42</v>
      </c>
      <c r="G3" s="584"/>
      <c r="H3" s="567"/>
      <c r="I3" s="585" t="s">
        <v>72</v>
      </c>
      <c r="J3" s="586" t="s">
        <v>71</v>
      </c>
      <c r="K3" s="969"/>
      <c r="L3" s="587" t="s">
        <v>79</v>
      </c>
      <c r="M3" s="969"/>
      <c r="N3" s="969"/>
      <c r="O3" s="966"/>
      <c r="P3" s="966"/>
      <c r="Q3" s="824" t="s">
        <v>78</v>
      </c>
      <c r="R3" s="969"/>
      <c r="S3" s="972"/>
      <c r="U3" s="589" t="s">
        <v>61</v>
      </c>
      <c r="V3" s="590" t="s">
        <v>57</v>
      </c>
      <c r="W3" s="591" t="s">
        <v>53</v>
      </c>
      <c r="X3" s="592" t="s">
        <v>64</v>
      </c>
      <c r="Y3" s="591" t="s">
        <v>54</v>
      </c>
      <c r="Z3" s="591" t="s">
        <v>73</v>
      </c>
      <c r="AA3" s="593"/>
      <c r="AB3" s="594" t="s">
        <v>51</v>
      </c>
      <c r="AC3" s="594" t="s">
        <v>47</v>
      </c>
      <c r="AD3" s="595" t="s">
        <v>55</v>
      </c>
      <c r="AE3" s="595" t="s">
        <v>56</v>
      </c>
    </row>
    <row r="4" spans="1:31" ht="20.100000000000001" customHeight="1" x14ac:dyDescent="0.2">
      <c r="A4" s="596" t="s">
        <v>26</v>
      </c>
      <c r="B4" s="596"/>
      <c r="C4" s="597" t="s">
        <v>89</v>
      </c>
      <c r="D4" s="598" t="s">
        <v>24</v>
      </c>
      <c r="E4" s="597" t="s">
        <v>90</v>
      </c>
      <c r="F4" s="599"/>
      <c r="G4" s="600"/>
      <c r="H4" s="567"/>
      <c r="I4" s="601">
        <f>J4*60</f>
        <v>30</v>
      </c>
      <c r="J4" s="602">
        <v>0.5</v>
      </c>
      <c r="K4" s="603">
        <v>19</v>
      </c>
      <c r="L4" s="604">
        <v>1.0155000000000001</v>
      </c>
      <c r="M4" s="602">
        <f t="shared" ref="M4:M10" si="0">(L4-1)*1000</f>
        <v>15.500000000000069</v>
      </c>
      <c r="N4" s="602">
        <f>M4+$G$33</f>
        <v>17.000000000000014</v>
      </c>
      <c r="O4" s="605">
        <v>-0.2</v>
      </c>
      <c r="P4" s="606">
        <f t="shared" ref="P4:P10" si="1">N4+O4</f>
        <v>16.800000000000015</v>
      </c>
      <c r="Q4" s="607">
        <f>((18.35*V4/($F$34-W4))*Z4)^0.5</f>
        <v>7.2272853226536871E-2</v>
      </c>
      <c r="R4" s="602">
        <f t="shared" ref="R4:R10" si="2">$F$36*P4</f>
        <v>87.122435201221208</v>
      </c>
      <c r="S4" s="608">
        <f t="shared" ref="S4:S10" si="3">$G$24/100*R4</f>
        <v>22.849981651150618</v>
      </c>
      <c r="T4" s="828">
        <f>(S4/S$13)*S$4</f>
        <v>4.7334117353802032</v>
      </c>
      <c r="U4" s="609">
        <f>1+0.001*N4</f>
        <v>1.0169999999999999</v>
      </c>
      <c r="V4" s="610">
        <f>0.00178/(1+0.0337*K4+0.00022*K4^2)</f>
        <v>1.0350522178028982E-3</v>
      </c>
      <c r="W4" s="609">
        <f>1/(1+((2.31*K4-2)^2-182)*0.00001)</f>
        <v>0.98451581001991773</v>
      </c>
      <c r="X4" s="611">
        <f>4142.8*(1.03-U4)/10</f>
        <v>5.3856400000000511</v>
      </c>
      <c r="Y4" s="612">
        <f t="shared" ref="Y4:Y12" si="4">X4+$AB$5+0.5*($AC$5-$AD$5/$AE$5)</f>
        <v>13.740857665612328</v>
      </c>
      <c r="Z4" s="613">
        <f t="shared" ref="Z4:Z12" si="5">Y4/I4</f>
        <v>0.45802858885374426</v>
      </c>
      <c r="AA4" s="593"/>
      <c r="AB4" s="614" t="s">
        <v>54</v>
      </c>
      <c r="AC4" s="614" t="s">
        <v>54</v>
      </c>
      <c r="AD4" s="615" t="s">
        <v>58</v>
      </c>
      <c r="AE4" s="615" t="s">
        <v>59</v>
      </c>
    </row>
    <row r="5" spans="1:31" ht="20.100000000000001" customHeight="1" x14ac:dyDescent="0.2">
      <c r="A5" s="596" t="s">
        <v>27</v>
      </c>
      <c r="B5" s="596"/>
      <c r="C5" s="616"/>
      <c r="D5" s="617"/>
      <c r="E5" s="618" t="s">
        <v>4</v>
      </c>
      <c r="F5" s="619"/>
      <c r="G5" s="620"/>
      <c r="I5" s="601">
        <f>J5*60</f>
        <v>60</v>
      </c>
      <c r="J5" s="621">
        <v>1</v>
      </c>
      <c r="K5" s="603">
        <v>19</v>
      </c>
      <c r="L5" s="604">
        <v>1.0144</v>
      </c>
      <c r="M5" s="602">
        <f t="shared" si="0"/>
        <v>14.399999999999968</v>
      </c>
      <c r="N5" s="602">
        <f t="shared" ref="N5:N12" si="6">M5+$G$33</f>
        <v>15.899999999999913</v>
      </c>
      <c r="O5" s="605">
        <v>-0.2</v>
      </c>
      <c r="P5" s="606">
        <f t="shared" si="1"/>
        <v>15.699999999999914</v>
      </c>
      <c r="Q5" s="607">
        <f t="shared" ref="Q5:Q12" si="7">((18.35*V5/($F$34-W5))*Z5)^0.5</f>
        <v>5.1945141044252595E-2</v>
      </c>
      <c r="R5" s="602">
        <f t="shared" si="2"/>
        <v>81.41799003923596</v>
      </c>
      <c r="S5" s="608">
        <f t="shared" si="3"/>
        <v>21.353851900182285</v>
      </c>
      <c r="T5" s="828">
        <f t="shared" ref="T5:T12" si="8">(S5/S$13)*S$4</f>
        <v>4.4234859669921853</v>
      </c>
      <c r="U5" s="609">
        <f t="shared" ref="U5:U12" si="9">1+0.001*N5</f>
        <v>1.0158999999999998</v>
      </c>
      <c r="V5" s="610">
        <f t="shared" ref="V5:V12" si="10">0.00178/(1+0.0337*K5+0.00022*K5^2)</f>
        <v>1.0350522178028982E-3</v>
      </c>
      <c r="W5" s="609">
        <f t="shared" ref="W5:W12" si="11">1/(1+((2.31*K5-2)^2-182)*0.00001)</f>
        <v>0.98451581001991773</v>
      </c>
      <c r="X5" s="611">
        <f t="shared" ref="X5:X12" si="12">4142.8*(1.03-U5)/10</f>
        <v>5.8413480000000932</v>
      </c>
      <c r="Y5" s="612">
        <f t="shared" si="4"/>
        <v>14.19656566561237</v>
      </c>
      <c r="Z5" s="613">
        <f t="shared" si="5"/>
        <v>0.23660942776020616</v>
      </c>
      <c r="AA5" s="622"/>
      <c r="AB5" s="623">
        <v>1.1100000000000001</v>
      </c>
      <c r="AC5" s="624">
        <v>16.7</v>
      </c>
      <c r="AD5" s="624">
        <v>60</v>
      </c>
      <c r="AE5" s="625">
        <f>PI()/4*$F$32^2</f>
        <v>27.154670260568732</v>
      </c>
    </row>
    <row r="6" spans="1:31" ht="20.100000000000001" customHeight="1" x14ac:dyDescent="0.35">
      <c r="A6" s="626" t="s">
        <v>28</v>
      </c>
      <c r="B6" s="627"/>
      <c r="C6" s="616">
        <v>20</v>
      </c>
      <c r="D6" s="628"/>
      <c r="E6" s="596" t="s">
        <v>41</v>
      </c>
      <c r="F6" s="629"/>
      <c r="G6" s="630">
        <v>555.20000000000005</v>
      </c>
      <c r="I6" s="601">
        <f t="shared" ref="I6:I12" si="13">J6*60</f>
        <v>120</v>
      </c>
      <c r="J6" s="621">
        <v>2</v>
      </c>
      <c r="K6" s="603">
        <v>19</v>
      </c>
      <c r="L6" s="604">
        <v>1.0115000000000001</v>
      </c>
      <c r="M6" s="602">
        <f t="shared" si="0"/>
        <v>11.500000000000066</v>
      </c>
      <c r="N6" s="602">
        <f t="shared" si="6"/>
        <v>13.000000000000011</v>
      </c>
      <c r="O6" s="605">
        <v>-0.2</v>
      </c>
      <c r="P6" s="606">
        <f t="shared" si="1"/>
        <v>12.800000000000011</v>
      </c>
      <c r="Q6" s="607">
        <f t="shared" si="7"/>
        <v>3.8253407500316326E-2</v>
      </c>
      <c r="R6" s="602">
        <f t="shared" si="2"/>
        <v>66.378998248549493</v>
      </c>
      <c r="S6" s="608">
        <f t="shared" si="3"/>
        <v>17.409509829448091</v>
      </c>
      <c r="T6" s="828">
        <f t="shared" si="8"/>
        <v>3.6064089412420599</v>
      </c>
      <c r="U6" s="609">
        <f t="shared" si="9"/>
        <v>1.0129999999999999</v>
      </c>
      <c r="V6" s="610">
        <f t="shared" si="10"/>
        <v>1.0350522178028982E-3</v>
      </c>
      <c r="W6" s="609">
        <f t="shared" si="11"/>
        <v>0.98451581001991773</v>
      </c>
      <c r="X6" s="611">
        <f t="shared" si="12"/>
        <v>7.0427600000000528</v>
      </c>
      <c r="Y6" s="612">
        <f t="shared" si="4"/>
        <v>15.397977665612329</v>
      </c>
      <c r="Z6" s="613">
        <f t="shared" si="5"/>
        <v>0.12831648054676942</v>
      </c>
      <c r="AA6" s="622"/>
    </row>
    <row r="7" spans="1:31" ht="20.100000000000001" customHeight="1" thickBot="1" x14ac:dyDescent="0.25">
      <c r="A7" s="631"/>
      <c r="B7" s="631"/>
      <c r="C7" s="631"/>
      <c r="D7" s="632"/>
      <c r="E7" s="632"/>
      <c r="F7" s="632"/>
      <c r="G7" s="633"/>
      <c r="I7" s="601">
        <f t="shared" si="13"/>
        <v>300</v>
      </c>
      <c r="J7" s="621">
        <v>5</v>
      </c>
      <c r="K7" s="603">
        <v>19</v>
      </c>
      <c r="L7" s="604">
        <v>1.01</v>
      </c>
      <c r="M7" s="602">
        <f t="shared" si="0"/>
        <v>10.000000000000009</v>
      </c>
      <c r="N7" s="602">
        <f t="shared" si="6"/>
        <v>11.499999999999954</v>
      </c>
      <c r="O7" s="605">
        <v>-0.2</v>
      </c>
      <c r="P7" s="606">
        <f t="shared" si="1"/>
        <v>11.299999999999955</v>
      </c>
      <c r="Q7" s="607">
        <f t="shared" si="7"/>
        <v>2.4676943747260767E-2</v>
      </c>
      <c r="R7" s="602">
        <f t="shared" si="2"/>
        <v>58.600209391297305</v>
      </c>
      <c r="S7" s="608">
        <f t="shared" si="3"/>
        <v>15.369332896309565</v>
      </c>
      <c r="T7" s="828">
        <f t="shared" si="8"/>
        <v>3.1837828934402403</v>
      </c>
      <c r="U7" s="609">
        <f t="shared" si="9"/>
        <v>1.0114999999999998</v>
      </c>
      <c r="V7" s="610">
        <f t="shared" si="10"/>
        <v>1.0350522178028982E-3</v>
      </c>
      <c r="W7" s="609">
        <f t="shared" si="11"/>
        <v>0.98451581001991773</v>
      </c>
      <c r="X7" s="611">
        <f t="shared" si="12"/>
        <v>7.6641800000000755</v>
      </c>
      <c r="Y7" s="612">
        <f t="shared" si="4"/>
        <v>16.019397665612352</v>
      </c>
      <c r="Z7" s="613">
        <f t="shared" si="5"/>
        <v>5.3397992218707842E-2</v>
      </c>
      <c r="AA7" s="622"/>
    </row>
    <row r="8" spans="1:31" ht="16.5" customHeight="1" x14ac:dyDescent="0.2">
      <c r="A8" s="634" t="s">
        <v>11</v>
      </c>
      <c r="B8" s="635"/>
      <c r="C8" s="636" t="s">
        <v>34</v>
      </c>
      <c r="D8" s="637" t="s">
        <v>35</v>
      </c>
      <c r="E8" s="960" t="s">
        <v>33</v>
      </c>
      <c r="F8" s="961"/>
      <c r="G8" s="962" t="s">
        <v>15</v>
      </c>
      <c r="I8" s="601">
        <f t="shared" si="13"/>
        <v>900</v>
      </c>
      <c r="J8" s="621">
        <v>15</v>
      </c>
      <c r="K8" s="603">
        <v>19</v>
      </c>
      <c r="L8" s="604">
        <v>1.0069999999999999</v>
      </c>
      <c r="M8" s="602">
        <f t="shared" si="0"/>
        <v>6.9999999999998952</v>
      </c>
      <c r="N8" s="602">
        <f t="shared" si="6"/>
        <v>8.4999999999998401</v>
      </c>
      <c r="O8" s="605">
        <v>-0.2</v>
      </c>
      <c r="P8" s="606">
        <f t="shared" si="1"/>
        <v>8.2999999999998408</v>
      </c>
      <c r="Q8" s="607">
        <f t="shared" si="7"/>
        <v>1.4789592171616392E-2</v>
      </c>
      <c r="R8" s="602">
        <f t="shared" si="2"/>
        <v>43.042631676792944</v>
      </c>
      <c r="S8" s="608">
        <f t="shared" si="3"/>
        <v>11.288979030032518</v>
      </c>
      <c r="T8" s="828">
        <f t="shared" si="8"/>
        <v>2.3385307978366012</v>
      </c>
      <c r="U8" s="609">
        <f t="shared" si="9"/>
        <v>1.0084999999999997</v>
      </c>
      <c r="V8" s="610">
        <f t="shared" si="10"/>
        <v>1.0350522178028982E-3</v>
      </c>
      <c r="W8" s="609">
        <f t="shared" si="11"/>
        <v>0.98451581001991773</v>
      </c>
      <c r="X8" s="611">
        <f t="shared" si="12"/>
        <v>8.9070200000001236</v>
      </c>
      <c r="Y8" s="612">
        <f t="shared" si="4"/>
        <v>17.2622376656124</v>
      </c>
      <c r="Z8" s="613">
        <f t="shared" si="5"/>
        <v>1.9180264072902665E-2</v>
      </c>
      <c r="AA8" s="622"/>
    </row>
    <row r="9" spans="1:31" ht="18" customHeight="1" x14ac:dyDescent="0.2">
      <c r="A9" s="638"/>
      <c r="B9" s="639"/>
      <c r="C9" s="640" t="s">
        <v>8</v>
      </c>
      <c r="D9" s="641" t="s">
        <v>16</v>
      </c>
      <c r="E9" s="641" t="s">
        <v>18</v>
      </c>
      <c r="F9" s="641" t="s">
        <v>17</v>
      </c>
      <c r="G9" s="963"/>
      <c r="I9" s="601">
        <f t="shared" si="13"/>
        <v>2700</v>
      </c>
      <c r="J9" s="621">
        <v>45</v>
      </c>
      <c r="K9" s="603">
        <v>19</v>
      </c>
      <c r="L9" s="604">
        <v>1.0049999999999999</v>
      </c>
      <c r="M9" s="602">
        <f t="shared" si="0"/>
        <v>4.9999999999998934</v>
      </c>
      <c r="N9" s="602">
        <f t="shared" si="6"/>
        <v>6.4999999999998392</v>
      </c>
      <c r="O9" s="605">
        <v>-0.2</v>
      </c>
      <c r="P9" s="606">
        <f t="shared" si="1"/>
        <v>6.2999999999998391</v>
      </c>
      <c r="Q9" s="607">
        <f t="shared" si="7"/>
        <v>8.7412971400132305E-3</v>
      </c>
      <c r="R9" s="602">
        <f t="shared" si="2"/>
        <v>32.670913200457086</v>
      </c>
      <c r="S9" s="608">
        <f t="shared" si="3"/>
        <v>8.5687431191812546</v>
      </c>
      <c r="T9" s="828">
        <f t="shared" si="8"/>
        <v>1.7750294007675294</v>
      </c>
      <c r="U9" s="609">
        <f t="shared" si="9"/>
        <v>1.0065</v>
      </c>
      <c r="V9" s="610">
        <f t="shared" si="10"/>
        <v>1.0350522178028982E-3</v>
      </c>
      <c r="W9" s="609">
        <f t="shared" si="11"/>
        <v>0.98451581001991773</v>
      </c>
      <c r="X9" s="611">
        <f t="shared" si="12"/>
        <v>9.7355800000000308</v>
      </c>
      <c r="Y9" s="612">
        <f t="shared" si="4"/>
        <v>18.090797665612307</v>
      </c>
      <c r="Z9" s="613">
        <f t="shared" si="5"/>
        <v>6.7002954317082614E-3</v>
      </c>
      <c r="AA9" s="622"/>
    </row>
    <row r="10" spans="1:31" ht="18.75" customHeight="1" thickBot="1" x14ac:dyDescent="0.25">
      <c r="A10" s="642" t="s">
        <v>3</v>
      </c>
      <c r="B10" s="643"/>
      <c r="C10" s="644" t="s">
        <v>0</v>
      </c>
      <c r="D10" s="645" t="s">
        <v>0</v>
      </c>
      <c r="E10" s="645" t="s">
        <v>0</v>
      </c>
      <c r="F10" s="645" t="s">
        <v>1</v>
      </c>
      <c r="G10" s="646" t="s">
        <v>1</v>
      </c>
      <c r="I10" s="601">
        <f t="shared" si="13"/>
        <v>7200</v>
      </c>
      <c r="J10" s="621">
        <v>120</v>
      </c>
      <c r="K10" s="603">
        <v>19</v>
      </c>
      <c r="L10" s="604">
        <v>1.0029999999999999</v>
      </c>
      <c r="M10" s="602">
        <f t="shared" si="0"/>
        <v>2.9999999999998916</v>
      </c>
      <c r="N10" s="602">
        <f t="shared" si="6"/>
        <v>4.4999999999998375</v>
      </c>
      <c r="O10" s="605">
        <v>-0.2</v>
      </c>
      <c r="P10" s="606">
        <f t="shared" si="1"/>
        <v>4.2999999999998373</v>
      </c>
      <c r="Q10" s="607">
        <f t="shared" si="7"/>
        <v>5.474139401966378E-3</v>
      </c>
      <c r="R10" s="602">
        <f t="shared" si="2"/>
        <v>22.299194724121232</v>
      </c>
      <c r="S10" s="608">
        <f t="shared" si="3"/>
        <v>5.8485072083299912</v>
      </c>
      <c r="T10" s="828">
        <f t="shared" si="8"/>
        <v>1.2115280036984575</v>
      </c>
      <c r="U10" s="609">
        <f t="shared" si="9"/>
        <v>1.0044999999999997</v>
      </c>
      <c r="V10" s="610">
        <f t="shared" si="10"/>
        <v>1.0350522178028982E-3</v>
      </c>
      <c r="W10" s="609">
        <f t="shared" si="11"/>
        <v>0.98451581001991773</v>
      </c>
      <c r="X10" s="611">
        <f t="shared" si="12"/>
        <v>10.564140000000126</v>
      </c>
      <c r="Y10" s="612">
        <f t="shared" si="4"/>
        <v>18.919357665612402</v>
      </c>
      <c r="Z10" s="613">
        <f t="shared" si="5"/>
        <v>2.6276885646683893E-3</v>
      </c>
      <c r="AA10" s="622"/>
    </row>
    <row r="11" spans="1:31" ht="18.75" customHeight="1" x14ac:dyDescent="0.2">
      <c r="A11" s="985" t="s">
        <v>12</v>
      </c>
      <c r="B11" s="647">
        <v>50</v>
      </c>
      <c r="C11" s="648" t="s">
        <v>21</v>
      </c>
      <c r="D11" s="649">
        <v>0</v>
      </c>
      <c r="E11" s="650">
        <f>D11</f>
        <v>0</v>
      </c>
      <c r="F11" s="651">
        <f t="shared" ref="F11:F25" si="14">E11/$E$26*100</f>
        <v>0</v>
      </c>
      <c r="G11" s="652">
        <v>100</v>
      </c>
      <c r="I11" s="601">
        <f t="shared" si="13"/>
        <v>21600</v>
      </c>
      <c r="J11" s="621">
        <v>360</v>
      </c>
      <c r="K11" s="603">
        <v>19</v>
      </c>
      <c r="L11" s="604">
        <v>1.002</v>
      </c>
      <c r="M11" s="602">
        <f>(L11-1)*1000</f>
        <v>2.0000000000000018</v>
      </c>
      <c r="N11" s="602">
        <f t="shared" si="6"/>
        <v>3.4999999999999476</v>
      </c>
      <c r="O11" s="605">
        <v>-0.2</v>
      </c>
      <c r="P11" s="606">
        <f>N11+O11</f>
        <v>3.2999999999999474</v>
      </c>
      <c r="Q11" s="607">
        <f t="shared" si="7"/>
        <v>3.1949114018161979E-3</v>
      </c>
      <c r="R11" s="602">
        <f>$F$36*P11</f>
        <v>17.113335485953879</v>
      </c>
      <c r="S11" s="608">
        <f>$G$24/100*R11</f>
        <v>4.4883892529045104</v>
      </c>
      <c r="T11" s="828">
        <f t="shared" si="8"/>
        <v>0.92977730516395296</v>
      </c>
      <c r="U11" s="609">
        <f t="shared" si="9"/>
        <v>1.0034999999999998</v>
      </c>
      <c r="V11" s="610">
        <f t="shared" si="10"/>
        <v>1.0350522178028982E-3</v>
      </c>
      <c r="W11" s="609">
        <f t="shared" si="11"/>
        <v>0.98451581001991773</v>
      </c>
      <c r="X11" s="611">
        <f t="shared" si="12"/>
        <v>10.97842000000008</v>
      </c>
      <c r="Y11" s="612">
        <f t="shared" si="4"/>
        <v>19.333637665612358</v>
      </c>
      <c r="Z11" s="613">
        <f t="shared" si="5"/>
        <v>8.9507581785242397E-4</v>
      </c>
      <c r="AA11" s="622"/>
    </row>
    <row r="12" spans="1:31" ht="19.5" customHeight="1" thickBot="1" x14ac:dyDescent="0.25">
      <c r="A12" s="986"/>
      <c r="B12" s="653">
        <v>40</v>
      </c>
      <c r="C12" s="654" t="s">
        <v>21</v>
      </c>
      <c r="D12" s="655">
        <v>0</v>
      </c>
      <c r="E12" s="656">
        <f>D12</f>
        <v>0</v>
      </c>
      <c r="F12" s="651">
        <f t="shared" si="14"/>
        <v>0</v>
      </c>
      <c r="G12" s="657">
        <f t="shared" ref="G12:G24" si="15">G11-F12</f>
        <v>100</v>
      </c>
      <c r="I12" s="658">
        <f t="shared" si="13"/>
        <v>86400</v>
      </c>
      <c r="J12" s="659">
        <v>1440</v>
      </c>
      <c r="K12" s="603">
        <v>19</v>
      </c>
      <c r="L12" s="660">
        <v>1.0009999999999999</v>
      </c>
      <c r="M12" s="661">
        <f>(L12-1)*1000</f>
        <v>0.99999999999988987</v>
      </c>
      <c r="N12" s="661">
        <f t="shared" si="6"/>
        <v>2.4999999999998357</v>
      </c>
      <c r="O12" s="605">
        <v>-0.2</v>
      </c>
      <c r="P12" s="662">
        <f>N12+O12</f>
        <v>2.2999999999998355</v>
      </c>
      <c r="Q12" s="663">
        <f t="shared" si="7"/>
        <v>1.6144800762828164E-3</v>
      </c>
      <c r="R12" s="661">
        <f>$F$36*P12</f>
        <v>11.927476247785373</v>
      </c>
      <c r="S12" s="664">
        <f>$G$24/100*R12</f>
        <v>3.1282712974787268</v>
      </c>
      <c r="T12" s="828">
        <f t="shared" si="8"/>
        <v>0.6480266066293856</v>
      </c>
      <c r="U12" s="609">
        <f t="shared" si="9"/>
        <v>1.0024999999999999</v>
      </c>
      <c r="V12" s="610">
        <f t="shared" si="10"/>
        <v>1.0350522178028982E-3</v>
      </c>
      <c r="W12" s="609">
        <f t="shared" si="11"/>
        <v>0.98451581001991773</v>
      </c>
      <c r="X12" s="611">
        <f t="shared" si="12"/>
        <v>11.392700000000033</v>
      </c>
      <c r="Y12" s="612">
        <f t="shared" si="4"/>
        <v>19.747917665612309</v>
      </c>
      <c r="Z12" s="613">
        <f t="shared" si="5"/>
        <v>2.2856386187051285E-4</v>
      </c>
      <c r="AA12" s="622"/>
    </row>
    <row r="13" spans="1:31" ht="19.5" customHeight="1" x14ac:dyDescent="0.2">
      <c r="A13" s="986"/>
      <c r="B13" s="665">
        <v>30</v>
      </c>
      <c r="C13" s="666" t="s">
        <v>21</v>
      </c>
      <c r="D13" s="667">
        <v>0</v>
      </c>
      <c r="E13" s="668">
        <f>D13</f>
        <v>0</v>
      </c>
      <c r="F13" s="651">
        <f t="shared" si="14"/>
        <v>0</v>
      </c>
      <c r="G13" s="669">
        <f t="shared" si="15"/>
        <v>100</v>
      </c>
      <c r="S13" s="530">
        <f>SUM(S4:S12)</f>
        <v>110.30556618501757</v>
      </c>
      <c r="AA13" s="622"/>
    </row>
    <row r="14" spans="1:31" ht="19.5" customHeight="1" thickBot="1" x14ac:dyDescent="0.25">
      <c r="A14" s="986"/>
      <c r="B14" s="665">
        <v>20</v>
      </c>
      <c r="C14" s="666" t="s">
        <v>21</v>
      </c>
      <c r="D14" s="667">
        <v>7.2</v>
      </c>
      <c r="E14" s="668">
        <f>D14</f>
        <v>7.2</v>
      </c>
      <c r="F14" s="651">
        <f t="shared" si="14"/>
        <v>1.2996389891696751</v>
      </c>
      <c r="G14" s="669">
        <f t="shared" si="15"/>
        <v>98.700361010830321</v>
      </c>
      <c r="U14" s="116"/>
      <c r="V14" s="116"/>
      <c r="W14" s="204"/>
      <c r="X14" s="13"/>
      <c r="Y14" s="13"/>
      <c r="Z14" s="13"/>
    </row>
    <row r="15" spans="1:31" ht="19.5" customHeight="1" thickBot="1" x14ac:dyDescent="0.25">
      <c r="A15" s="987"/>
      <c r="B15" s="670">
        <v>10</v>
      </c>
      <c r="C15" s="671" t="s">
        <v>21</v>
      </c>
      <c r="D15" s="672">
        <v>66</v>
      </c>
      <c r="E15" s="656">
        <f>D15</f>
        <v>66</v>
      </c>
      <c r="F15" s="673">
        <f t="shared" si="14"/>
        <v>11.913357400722022</v>
      </c>
      <c r="G15" s="674">
        <f t="shared" si="15"/>
        <v>86.7870036101083</v>
      </c>
      <c r="I15" s="531"/>
      <c r="J15" s="531"/>
      <c r="K15" s="531"/>
      <c r="L15" s="531"/>
      <c r="M15" s="531"/>
      <c r="N15" s="531"/>
      <c r="O15" s="531"/>
      <c r="P15" s="531"/>
      <c r="Q15" s="531"/>
      <c r="R15" s="531"/>
      <c r="S15" s="531"/>
      <c r="U15" s="116"/>
      <c r="V15" s="291" t="s">
        <v>122</v>
      </c>
      <c r="W15" s="273"/>
      <c r="X15" s="13"/>
      <c r="Y15" s="13"/>
      <c r="Z15" s="13"/>
    </row>
    <row r="16" spans="1:31" ht="19.5" customHeight="1" x14ac:dyDescent="0.2">
      <c r="A16" s="985" t="s">
        <v>13</v>
      </c>
      <c r="B16" s="675">
        <v>6.3</v>
      </c>
      <c r="C16" s="676">
        <v>630.4</v>
      </c>
      <c r="D16" s="677">
        <v>645.29999999999995</v>
      </c>
      <c r="E16" s="678">
        <f>D16-C16</f>
        <v>14.899999999999977</v>
      </c>
      <c r="F16" s="651">
        <f t="shared" si="14"/>
        <v>2.6895306859205736</v>
      </c>
      <c r="G16" s="657">
        <f t="shared" si="15"/>
        <v>84.097472924187727</v>
      </c>
      <c r="I16" s="531"/>
      <c r="J16" s="531"/>
      <c r="K16" s="531"/>
      <c r="L16" s="531"/>
      <c r="M16" s="531"/>
      <c r="N16" s="531"/>
      <c r="O16" s="531"/>
      <c r="P16" s="531"/>
      <c r="Q16" s="531"/>
      <c r="R16" s="531"/>
      <c r="S16" s="531"/>
      <c r="U16" s="116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86"/>
      <c r="B17" s="679">
        <v>4</v>
      </c>
      <c r="C17" s="666">
        <v>519.29999999999995</v>
      </c>
      <c r="D17" s="680">
        <v>559.5</v>
      </c>
      <c r="E17" s="681">
        <f t="shared" ref="E17:E24" si="16">D17-C17</f>
        <v>40.200000000000045</v>
      </c>
      <c r="F17" s="651">
        <f t="shared" si="14"/>
        <v>7.2563176895306949</v>
      </c>
      <c r="G17" s="669">
        <f t="shared" si="15"/>
        <v>76.841155234657037</v>
      </c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531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986"/>
      <c r="B18" s="679">
        <v>2</v>
      </c>
      <c r="C18" s="666">
        <v>506.2</v>
      </c>
      <c r="D18" s="680">
        <v>550.9</v>
      </c>
      <c r="E18" s="682">
        <f t="shared" si="16"/>
        <v>44.699999999999989</v>
      </c>
      <c r="F18" s="651">
        <f t="shared" si="14"/>
        <v>8.0685920577617303</v>
      </c>
      <c r="G18" s="669">
        <f t="shared" si="15"/>
        <v>68.772563176895304</v>
      </c>
      <c r="I18" s="531"/>
      <c r="J18" s="531"/>
      <c r="K18" s="531"/>
      <c r="L18" s="531"/>
      <c r="M18" s="531"/>
      <c r="N18" s="531"/>
      <c r="O18" s="531"/>
      <c r="P18" s="531"/>
      <c r="Q18" s="531"/>
      <c r="R18" s="531"/>
      <c r="S18" s="531"/>
      <c r="U18" s="116"/>
      <c r="V18" s="116"/>
      <c r="W18" s="116"/>
      <c r="X18" s="116"/>
      <c r="Y18" s="116"/>
      <c r="Z18" s="116"/>
    </row>
    <row r="19" spans="1:26" ht="21.95" customHeight="1" x14ac:dyDescent="0.2">
      <c r="A19" s="986"/>
      <c r="B19" s="679">
        <v>1</v>
      </c>
      <c r="C19" s="666">
        <v>383.8</v>
      </c>
      <c r="D19" s="680">
        <v>419.7</v>
      </c>
      <c r="E19" s="681">
        <f t="shared" si="16"/>
        <v>35.899999999999977</v>
      </c>
      <c r="F19" s="651">
        <f t="shared" si="14"/>
        <v>6.4801444043321261</v>
      </c>
      <c r="G19" s="669">
        <f t="shared" si="15"/>
        <v>62.292418772563181</v>
      </c>
      <c r="I19" s="531"/>
      <c r="J19" s="531"/>
      <c r="K19" s="531"/>
      <c r="L19" s="531"/>
      <c r="M19" s="531"/>
      <c r="N19" s="531"/>
      <c r="O19" s="531"/>
      <c r="P19" s="531"/>
      <c r="Q19" s="531"/>
      <c r="R19" s="531"/>
      <c r="S19" s="531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986"/>
      <c r="B20" s="665">
        <v>0.63</v>
      </c>
      <c r="C20" s="666">
        <v>376.2</v>
      </c>
      <c r="D20" s="680">
        <v>416</v>
      </c>
      <c r="E20" s="682">
        <f t="shared" si="16"/>
        <v>39.800000000000011</v>
      </c>
      <c r="F20" s="651">
        <f t="shared" si="14"/>
        <v>7.1841155234657066</v>
      </c>
      <c r="G20" s="669">
        <f t="shared" si="15"/>
        <v>55.108303249097474</v>
      </c>
      <c r="I20" s="531"/>
      <c r="J20" s="531"/>
      <c r="K20" s="531"/>
      <c r="L20" s="531"/>
      <c r="M20" s="531"/>
      <c r="N20" s="531"/>
      <c r="O20" s="531"/>
      <c r="P20" s="531"/>
      <c r="Q20" s="531"/>
      <c r="R20" s="531"/>
      <c r="S20" s="531"/>
      <c r="U20" s="116"/>
      <c r="V20" s="264" t="s">
        <v>107</v>
      </c>
      <c r="W20" s="266">
        <v>0.89</v>
      </c>
      <c r="X20" s="116"/>
      <c r="Y20" s="116"/>
      <c r="Z20" s="116"/>
    </row>
    <row r="21" spans="1:26" ht="21.95" customHeight="1" thickBot="1" x14ac:dyDescent="0.25">
      <c r="A21" s="986"/>
      <c r="B21" s="683">
        <v>0.4</v>
      </c>
      <c r="C21" s="666">
        <v>330.8</v>
      </c>
      <c r="D21" s="680">
        <v>383.7</v>
      </c>
      <c r="E21" s="681">
        <f t="shared" si="16"/>
        <v>52.899999999999977</v>
      </c>
      <c r="F21" s="651">
        <f t="shared" si="14"/>
        <v>9.5487364620938582</v>
      </c>
      <c r="G21" s="669">
        <f t="shared" si="15"/>
        <v>45.559566787003618</v>
      </c>
      <c r="I21" s="531"/>
      <c r="J21" s="531"/>
      <c r="K21" s="531"/>
      <c r="L21" s="531"/>
      <c r="M21" s="531"/>
      <c r="N21" s="531"/>
      <c r="O21" s="531"/>
      <c r="P21" s="531"/>
      <c r="Q21" s="531"/>
      <c r="R21" s="531"/>
      <c r="S21" s="531"/>
      <c r="U21" s="116"/>
      <c r="V21" s="264" t="s">
        <v>108</v>
      </c>
      <c r="W21" s="266">
        <v>1.0999999999999999E-2</v>
      </c>
      <c r="X21" s="116"/>
      <c r="Y21" s="116"/>
      <c r="Z21" s="116"/>
    </row>
    <row r="22" spans="1:26" ht="21.95" customHeight="1" thickBot="1" x14ac:dyDescent="0.3">
      <c r="A22" s="986"/>
      <c r="B22" s="683">
        <v>0.2</v>
      </c>
      <c r="C22" s="666">
        <v>326.10000000000002</v>
      </c>
      <c r="D22" s="680">
        <v>401.7</v>
      </c>
      <c r="E22" s="682">
        <f t="shared" si="16"/>
        <v>75.599999999999966</v>
      </c>
      <c r="F22" s="651">
        <f t="shared" si="14"/>
        <v>13.646209386281583</v>
      </c>
      <c r="G22" s="669">
        <f t="shared" si="15"/>
        <v>31.913357400722035</v>
      </c>
      <c r="I22" s="531"/>
      <c r="J22" s="531"/>
      <c r="K22" s="531"/>
      <c r="L22" s="531"/>
      <c r="M22" s="531"/>
      <c r="N22" s="531"/>
      <c r="O22" s="531"/>
      <c r="P22" s="531"/>
      <c r="Q22" s="531"/>
      <c r="R22" s="531"/>
      <c r="S22" s="531"/>
      <c r="U22" s="284" t="s">
        <v>119</v>
      </c>
      <c r="V22" s="285" t="s">
        <v>106</v>
      </c>
      <c r="W22" s="290">
        <f>W20/W21</f>
        <v>80.909090909090921</v>
      </c>
      <c r="X22" s="116"/>
      <c r="Y22" s="116"/>
      <c r="Z22" s="116"/>
    </row>
    <row r="23" spans="1:26" ht="21.95" customHeight="1" thickBot="1" x14ac:dyDescent="0.25">
      <c r="A23" s="986"/>
      <c r="B23" s="683">
        <v>0.1</v>
      </c>
      <c r="C23" s="666">
        <v>304.39999999999998</v>
      </c>
      <c r="D23" s="680">
        <v>334.5</v>
      </c>
      <c r="E23" s="681">
        <f t="shared" si="16"/>
        <v>30.100000000000023</v>
      </c>
      <c r="F23" s="651">
        <f t="shared" si="14"/>
        <v>5.4332129963898961</v>
      </c>
      <c r="G23" s="684">
        <f t="shared" si="15"/>
        <v>26.480144404332137</v>
      </c>
      <c r="I23" s="531"/>
      <c r="J23" s="531"/>
      <c r="K23" s="531"/>
      <c r="L23" s="531"/>
      <c r="M23" s="531"/>
      <c r="N23" s="531"/>
      <c r="O23" s="531"/>
      <c r="P23" s="531"/>
      <c r="Q23" s="531"/>
      <c r="R23" s="531"/>
      <c r="S23" s="531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988"/>
      <c r="B24" s="685">
        <v>6.3E-2</v>
      </c>
      <c r="C24" s="666">
        <v>313.7</v>
      </c>
      <c r="D24" s="680">
        <v>315.10000000000002</v>
      </c>
      <c r="E24" s="682">
        <f t="shared" si="16"/>
        <v>1.4000000000000341</v>
      </c>
      <c r="F24" s="686">
        <f t="shared" si="14"/>
        <v>0.25270758122744297</v>
      </c>
      <c r="G24" s="687">
        <f t="shared" si="15"/>
        <v>26.227436823104693</v>
      </c>
      <c r="I24" s="531"/>
      <c r="J24" s="531"/>
      <c r="K24" s="531"/>
      <c r="L24" s="531"/>
      <c r="M24" s="531"/>
      <c r="N24" s="531"/>
      <c r="O24" s="531"/>
      <c r="P24" s="531"/>
      <c r="Q24" s="531"/>
      <c r="R24" s="531"/>
      <c r="S24" s="531"/>
      <c r="U24" s="116"/>
      <c r="V24" s="269" t="s">
        <v>111</v>
      </c>
      <c r="W24" s="270">
        <f>0.0116*(W21*W21)*(0.7+0.03*W19)</f>
        <v>1.4457079999999996E-6</v>
      </c>
      <c r="X24" s="116"/>
      <c r="Y24" s="116"/>
      <c r="Z24" s="116"/>
    </row>
    <row r="25" spans="1:26" ht="21.95" customHeight="1" thickBot="1" x14ac:dyDescent="0.3">
      <c r="A25" s="826"/>
      <c r="B25" s="670" t="s">
        <v>14</v>
      </c>
      <c r="C25" s="689">
        <v>367.5</v>
      </c>
      <c r="D25" s="690">
        <v>369.8</v>
      </c>
      <c r="E25" s="691">
        <f>D25-C25+(G6-C26)</f>
        <v>145.30000000000007</v>
      </c>
      <c r="F25" s="651">
        <f t="shared" si="14"/>
        <v>26.227436823104703</v>
      </c>
      <c r="G25" s="657">
        <f>G24-F25</f>
        <v>0</v>
      </c>
      <c r="I25" s="531"/>
      <c r="J25" s="531"/>
      <c r="K25" s="531"/>
      <c r="L25" s="531"/>
      <c r="M25" s="531"/>
      <c r="N25" s="531"/>
      <c r="O25" s="531"/>
      <c r="P25" s="531"/>
      <c r="Q25" s="531"/>
      <c r="R25" s="531"/>
      <c r="S25" s="531"/>
      <c r="U25" s="116"/>
      <c r="V25" s="265"/>
      <c r="W25" s="268"/>
      <c r="X25" s="116"/>
      <c r="Y25" s="116"/>
      <c r="Z25" s="116"/>
    </row>
    <row r="26" spans="1:26" ht="21.95" customHeight="1" x14ac:dyDescent="0.2">
      <c r="A26" s="989" t="s">
        <v>40</v>
      </c>
      <c r="B26" s="990"/>
      <c r="C26" s="692">
        <v>412.2</v>
      </c>
      <c r="D26" s="693" t="s">
        <v>19</v>
      </c>
      <c r="E26" s="694">
        <f>SUM(E12:E25)</f>
        <v>554</v>
      </c>
      <c r="F26" s="695">
        <f>SUM(F12:F25)</f>
        <v>100</v>
      </c>
      <c r="G26" s="696" t="s">
        <v>20</v>
      </c>
      <c r="I26" s="531"/>
      <c r="J26" s="531"/>
      <c r="K26" s="531"/>
      <c r="L26" s="531"/>
      <c r="M26" s="531"/>
      <c r="N26" s="531"/>
      <c r="O26" s="531"/>
      <c r="P26" s="531"/>
      <c r="Q26" s="531"/>
      <c r="R26" s="531"/>
      <c r="S26" s="531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91" t="s">
        <v>43</v>
      </c>
      <c r="B27" s="992"/>
      <c r="C27" s="697">
        <f>(G3-G6)/G6</f>
        <v>-1</v>
      </c>
      <c r="D27" s="698" t="s">
        <v>22</v>
      </c>
      <c r="E27" s="699">
        <f>G6-E26</f>
        <v>1.2000000000000455</v>
      </c>
      <c r="F27" s="700">
        <f>IF((E27/G6*100)&gt;1,"Fehler zu groß",(E27/G6*100))</f>
        <v>0.21613832853026754</v>
      </c>
      <c r="G27" s="701" t="s">
        <v>20</v>
      </c>
      <c r="I27" s="531"/>
      <c r="J27" s="531"/>
      <c r="K27" s="531"/>
      <c r="L27" s="531"/>
      <c r="M27" s="531"/>
      <c r="N27" s="531"/>
      <c r="O27" s="531"/>
      <c r="P27" s="531"/>
      <c r="Q27" s="531"/>
      <c r="R27" s="531"/>
      <c r="S27" s="531"/>
      <c r="U27" s="116"/>
      <c r="V27" s="274" t="s">
        <v>112</v>
      </c>
      <c r="W27" s="275">
        <f>W26*(W21*W21)*(0.7+0.003*W19)</f>
        <v>1.0288388E-7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531"/>
      <c r="B28" s="702"/>
      <c r="C28" s="702"/>
      <c r="D28" s="703"/>
      <c r="E28" s="703"/>
      <c r="F28" s="704"/>
      <c r="G28" s="704"/>
      <c r="I28" s="531"/>
      <c r="J28" s="531"/>
      <c r="K28" s="531"/>
      <c r="L28" s="531"/>
      <c r="M28" s="531"/>
      <c r="N28" s="531"/>
      <c r="O28" s="531"/>
      <c r="P28" s="531"/>
      <c r="Q28" s="531"/>
      <c r="R28" s="531"/>
      <c r="S28" s="531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975" t="s">
        <v>37</v>
      </c>
      <c r="B29" s="975"/>
      <c r="C29" s="975"/>
      <c r="D29" s="975"/>
      <c r="E29" s="975"/>
      <c r="F29" s="975"/>
      <c r="G29" s="975"/>
      <c r="I29" s="531"/>
      <c r="J29" s="531"/>
      <c r="K29" s="531"/>
      <c r="L29" s="531"/>
      <c r="M29" s="531"/>
      <c r="N29" s="531"/>
      <c r="O29" s="531"/>
      <c r="P29" s="531"/>
      <c r="Q29" s="531"/>
      <c r="R29" s="531"/>
      <c r="S29" s="531"/>
      <c r="U29" s="116"/>
      <c r="V29" s="277" t="s">
        <v>120</v>
      </c>
      <c r="W29" s="287"/>
      <c r="X29" s="286"/>
      <c r="Y29" s="288"/>
      <c r="Z29" s="286" t="s">
        <v>114</v>
      </c>
    </row>
    <row r="30" spans="1:26" ht="18" customHeight="1" x14ac:dyDescent="0.2">
      <c r="A30" s="705" t="s">
        <v>38</v>
      </c>
      <c r="B30" s="705"/>
      <c r="C30" s="705"/>
      <c r="D30" s="705"/>
      <c r="E30" s="705"/>
      <c r="F30" s="705"/>
      <c r="G30" s="705"/>
      <c r="I30" s="531"/>
      <c r="J30" s="706"/>
      <c r="K30" s="706"/>
      <c r="L30" s="706"/>
      <c r="M30" s="706"/>
      <c r="N30" s="531"/>
      <c r="O30" s="531"/>
      <c r="P30" s="531"/>
      <c r="Q30" s="531"/>
      <c r="R30" s="531"/>
      <c r="S30" s="531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707" t="s">
        <v>44</v>
      </c>
      <c r="B31" s="708"/>
      <c r="C31" s="708"/>
      <c r="D31" s="708"/>
      <c r="E31" s="708"/>
      <c r="F31" s="709">
        <f>30*(1+C27)*100/G24</f>
        <v>0</v>
      </c>
      <c r="G31" s="710" t="s">
        <v>5</v>
      </c>
      <c r="I31" s="711"/>
      <c r="J31" s="711"/>
      <c r="K31" s="711"/>
      <c r="L31" s="711"/>
      <c r="M31" s="531"/>
      <c r="N31" s="531"/>
      <c r="O31" s="531"/>
      <c r="P31" s="531"/>
      <c r="Q31" s="531"/>
      <c r="R31" s="531"/>
      <c r="S31" s="531"/>
      <c r="U31" s="116"/>
      <c r="V31" s="278" t="s">
        <v>116</v>
      </c>
      <c r="W31" s="333" t="str">
        <f>IF(W21&gt;0.059,"OK","ungültig")</f>
        <v>ungültig</v>
      </c>
      <c r="X31" s="204"/>
      <c r="Y31" s="204"/>
      <c r="Z31" s="279"/>
    </row>
    <row r="32" spans="1:26" ht="21.95" customHeight="1" x14ac:dyDescent="0.35">
      <c r="A32" s="825" t="s">
        <v>80</v>
      </c>
      <c r="B32" s="713"/>
      <c r="C32" s="713"/>
      <c r="D32" s="713"/>
      <c r="E32" s="714"/>
      <c r="F32" s="715">
        <v>5.88</v>
      </c>
      <c r="G32" s="716" t="s">
        <v>54</v>
      </c>
      <c r="I32" s="711"/>
      <c r="J32" s="711"/>
      <c r="K32" s="622"/>
      <c r="L32" s="622"/>
      <c r="M32" s="531"/>
      <c r="N32" s="531"/>
      <c r="O32" s="531"/>
      <c r="P32" s="531"/>
      <c r="Q32" s="531"/>
      <c r="R32" s="531"/>
      <c r="S32" s="531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25" t="s">
        <v>45</v>
      </c>
      <c r="B33" s="825" t="s">
        <v>46</v>
      </c>
      <c r="C33" s="713"/>
      <c r="D33" s="713"/>
      <c r="E33" s="714"/>
      <c r="F33" s="715">
        <v>0.99850000000000005</v>
      </c>
      <c r="G33" s="717">
        <f>-(F33-1)*1000</f>
        <v>1.4999999999999458</v>
      </c>
      <c r="I33" s="718"/>
      <c r="J33" s="622"/>
      <c r="K33" s="622"/>
      <c r="L33" s="593"/>
      <c r="M33" s="531"/>
      <c r="N33" s="531"/>
      <c r="O33" s="531"/>
      <c r="P33" s="531"/>
      <c r="Q33" s="531"/>
      <c r="R33" s="531"/>
      <c r="S33" s="531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25" t="s">
        <v>9</v>
      </c>
      <c r="B34" s="713"/>
      <c r="C34" s="713"/>
      <c r="D34" s="713"/>
      <c r="E34" s="714"/>
      <c r="F34" s="715">
        <v>2.65</v>
      </c>
      <c r="G34" s="716" t="s">
        <v>6</v>
      </c>
      <c r="I34" s="718"/>
      <c r="J34" s="622"/>
      <c r="K34" s="622"/>
      <c r="L34" s="593"/>
      <c r="M34" s="531"/>
      <c r="N34" s="531"/>
      <c r="O34" s="531"/>
      <c r="P34" s="531"/>
      <c r="Q34" s="531"/>
      <c r="R34" s="531"/>
      <c r="S34" s="531"/>
      <c r="U34" s="116"/>
      <c r="V34" s="116"/>
      <c r="W34" s="116"/>
      <c r="X34" s="116"/>
      <c r="Y34" s="116"/>
      <c r="Z34" s="116"/>
    </row>
    <row r="35" spans="1:26" ht="21.95" customHeight="1" x14ac:dyDescent="0.3">
      <c r="A35" s="825" t="s">
        <v>36</v>
      </c>
      <c r="B35" s="713"/>
      <c r="C35" s="713"/>
      <c r="D35" s="713"/>
      <c r="E35" s="714"/>
      <c r="F35" s="715">
        <v>30.97</v>
      </c>
      <c r="G35" s="719" t="s">
        <v>7</v>
      </c>
      <c r="I35" s="718"/>
      <c r="J35" s="622"/>
      <c r="K35" s="622"/>
      <c r="L35" s="593"/>
      <c r="M35" s="531"/>
      <c r="N35" s="531"/>
      <c r="O35" s="531"/>
      <c r="P35" s="531"/>
      <c r="Q35" s="531"/>
      <c r="R35" s="531"/>
      <c r="S35" s="531"/>
      <c r="U35" s="116"/>
      <c r="V35" s="265" t="s">
        <v>121</v>
      </c>
      <c r="W35" s="116" t="s">
        <v>336</v>
      </c>
      <c r="X35" s="116"/>
      <c r="Y35" s="116"/>
      <c r="Z35" s="116"/>
    </row>
    <row r="36" spans="1:26" ht="21.75" customHeight="1" x14ac:dyDescent="0.3">
      <c r="A36" s="980" t="s">
        <v>10</v>
      </c>
      <c r="B36" s="981"/>
      <c r="C36" s="981"/>
      <c r="D36" s="981"/>
      <c r="E36" s="982"/>
      <c r="F36" s="721">
        <f>100/F35*F34/(F34-1)</f>
        <v>5.1858592381679243</v>
      </c>
      <c r="G36" s="722"/>
      <c r="I36" s="531"/>
      <c r="J36" s="531"/>
      <c r="K36" s="531"/>
      <c r="L36" s="531"/>
      <c r="M36" s="531"/>
      <c r="N36" s="531"/>
      <c r="O36" s="531"/>
      <c r="P36" s="531"/>
      <c r="Q36" s="531"/>
      <c r="R36" s="531"/>
      <c r="S36" s="531"/>
      <c r="U36" s="116"/>
      <c r="V36" s="267">
        <f>W24</f>
        <v>1.4457079999999996E-6</v>
      </c>
      <c r="W36" s="839">
        <v>2.8669999999999998E-6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L4 L5:L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8"/>
  <dimension ref="A1:Z36"/>
  <sheetViews>
    <sheetView topLeftCell="A9" zoomScaleNormal="10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5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6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6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6" ht="20.100000000000001" customHeight="1" x14ac:dyDescent="0.35">
      <c r="A3" s="117" t="s">
        <v>23</v>
      </c>
      <c r="B3" s="118"/>
      <c r="C3" s="119">
        <v>131</v>
      </c>
      <c r="D3" s="118" t="s">
        <v>25</v>
      </c>
      <c r="E3" s="121">
        <v>39850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6" ht="20.100000000000001" customHeight="1" x14ac:dyDescent="0.2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0" si="0">(L4-1)*1000</f>
        <v>-1000</v>
      </c>
      <c r="N4" s="133">
        <f t="shared" ref="N4:N10" si="1">M4+$F$33</f>
        <v>-1000</v>
      </c>
      <c r="O4" s="136"/>
      <c r="P4" s="133">
        <f t="shared" ref="P4:P10" si="2">N4+O4</f>
        <v>-1000</v>
      </c>
      <c r="Q4" s="137"/>
      <c r="R4" s="133" t="e">
        <f t="shared" ref="R4:R10" si="3">$F$36*P4</f>
        <v>#DIV/0!</v>
      </c>
      <c r="S4" s="138" t="e">
        <f t="shared" ref="S4:S10" si="4">$G$24/100*R4</f>
        <v>#DIV/0!</v>
      </c>
    </row>
    <row r="5" spans="1:26" ht="20.100000000000001" customHeight="1" x14ac:dyDescent="0.2">
      <c r="A5" s="127" t="s">
        <v>27</v>
      </c>
      <c r="B5" s="127"/>
      <c r="C5" s="298" t="s">
        <v>102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6" ht="20.100000000000001" customHeight="1" x14ac:dyDescent="0.35">
      <c r="A6" s="143" t="s">
        <v>28</v>
      </c>
      <c r="B6" s="144"/>
      <c r="C6" s="298">
        <v>30</v>
      </c>
      <c r="D6" s="302"/>
      <c r="E6" s="127" t="s">
        <v>41</v>
      </c>
      <c r="F6" s="146"/>
      <c r="G6" s="147">
        <v>621.29999999999995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6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6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 t="s">
        <v>15</v>
      </c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  <c r="W8" s="204"/>
      <c r="X8" s="13"/>
      <c r="Y8" s="13"/>
      <c r="Z8" s="13"/>
    </row>
    <row r="9" spans="1:26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6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6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 t="shared" ref="F11:F25" si="5"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>(L11-1)*1000</f>
        <v>-1000</v>
      </c>
      <c r="N11" s="133">
        <f>M11+$F$33</f>
        <v>-1000</v>
      </c>
      <c r="O11" s="165"/>
      <c r="P11" s="133">
        <f>N11+O11</f>
        <v>-1000</v>
      </c>
      <c r="Q11" s="137"/>
      <c r="R11" s="133" t="e">
        <f>$F$36*P11</f>
        <v>#DIV/0!</v>
      </c>
      <c r="S11" s="138" t="e">
        <f>$G$24/100*R11</f>
        <v>#DIV/0!</v>
      </c>
    </row>
    <row r="12" spans="1:26" ht="19.5" customHeight="1" thickBot="1" x14ac:dyDescent="0.25">
      <c r="A12" s="877"/>
      <c r="B12" s="172">
        <v>40</v>
      </c>
      <c r="C12" s="173" t="s">
        <v>21</v>
      </c>
      <c r="D12" s="174">
        <v>0</v>
      </c>
      <c r="E12" s="175">
        <f>D12</f>
        <v>0</v>
      </c>
      <c r="F12" s="170">
        <f t="shared" si="5"/>
        <v>0</v>
      </c>
      <c r="G12" s="176">
        <f t="shared" ref="G12:G24" si="6">G11-F12</f>
        <v>100</v>
      </c>
      <c r="I12" s="183" t="s">
        <v>95</v>
      </c>
      <c r="J12" s="184">
        <v>1440</v>
      </c>
      <c r="K12" s="185"/>
      <c r="L12" s="186"/>
      <c r="M12" s="187">
        <f>(L12-1)*1000</f>
        <v>-1000</v>
      </c>
      <c r="N12" s="187">
        <f>M12+$F$33</f>
        <v>-1000</v>
      </c>
      <c r="O12" s="188"/>
      <c r="P12" s="187">
        <f>N12+O12</f>
        <v>-1000</v>
      </c>
      <c r="Q12" s="189"/>
      <c r="R12" s="187" t="e">
        <f>$F$36*P12</f>
        <v>#DIV/0!</v>
      </c>
      <c r="S12" s="190" t="e">
        <f>$G$24/100*R12</f>
        <v>#DIV/0!</v>
      </c>
    </row>
    <row r="13" spans="1:26" ht="19.5" customHeight="1" x14ac:dyDescent="0.2">
      <c r="A13" s="877"/>
      <c r="B13" s="178">
        <v>30</v>
      </c>
      <c r="C13" s="179" t="s">
        <v>21</v>
      </c>
      <c r="D13" s="180">
        <v>32.6</v>
      </c>
      <c r="E13" s="181">
        <f>D13</f>
        <v>32.6</v>
      </c>
      <c r="F13" s="170">
        <f t="shared" si="5"/>
        <v>5.2572165779712936</v>
      </c>
      <c r="G13" s="182">
        <f t="shared" si="6"/>
        <v>94.742783422028708</v>
      </c>
    </row>
    <row r="14" spans="1:26" ht="19.5" customHeight="1" thickBot="1" x14ac:dyDescent="0.25">
      <c r="A14" s="877"/>
      <c r="B14" s="178">
        <v>20</v>
      </c>
      <c r="C14" s="179" t="s">
        <v>21</v>
      </c>
      <c r="D14" s="180">
        <v>28.5</v>
      </c>
      <c r="E14" s="181">
        <f>D14</f>
        <v>28.5</v>
      </c>
      <c r="F14" s="170">
        <f t="shared" si="5"/>
        <v>4.5960328979196889</v>
      </c>
      <c r="G14" s="182">
        <f t="shared" si="6"/>
        <v>90.146750524109024</v>
      </c>
    </row>
    <row r="15" spans="1:26" ht="19.5" customHeight="1" thickBot="1" x14ac:dyDescent="0.25">
      <c r="A15" s="878"/>
      <c r="B15" s="191">
        <v>10</v>
      </c>
      <c r="C15" s="192" t="s">
        <v>21</v>
      </c>
      <c r="D15" s="193">
        <v>103.2</v>
      </c>
      <c r="E15" s="175">
        <f>D15</f>
        <v>103.2</v>
      </c>
      <c r="F15" s="194">
        <f t="shared" si="5"/>
        <v>16.642477019835507</v>
      </c>
      <c r="G15" s="195">
        <f t="shared" si="6"/>
        <v>73.504273504273513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  <c r="X15" s="13"/>
      <c r="Y15" s="13"/>
      <c r="Z15" s="13"/>
    </row>
    <row r="16" spans="1:26" ht="19.5" customHeight="1" x14ac:dyDescent="0.2">
      <c r="A16" s="876" t="s">
        <v>13</v>
      </c>
      <c r="B16" s="199">
        <v>6.3</v>
      </c>
      <c r="C16" s="200">
        <v>630.4</v>
      </c>
      <c r="D16" s="201">
        <v>658.3</v>
      </c>
      <c r="E16" s="202">
        <f>D16-C16</f>
        <v>27.899999999999977</v>
      </c>
      <c r="F16" s="170">
        <f t="shared" si="5"/>
        <v>4.4992743105950606</v>
      </c>
      <c r="G16" s="176">
        <f t="shared" si="6"/>
        <v>69.004999193678458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593.6</v>
      </c>
      <c r="E17" s="208">
        <f t="shared" ref="E17:E24" si="7">D17-C17</f>
        <v>74.300000000000068</v>
      </c>
      <c r="F17" s="170">
        <f t="shared" si="5"/>
        <v>11.981938397032744</v>
      </c>
      <c r="G17" s="182">
        <f t="shared" si="6"/>
        <v>57.023060796645716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589</v>
      </c>
      <c r="E18" s="209">
        <f t="shared" si="7"/>
        <v>82.800000000000011</v>
      </c>
      <c r="F18" s="170">
        <f t="shared" si="5"/>
        <v>13.352685050798257</v>
      </c>
      <c r="G18" s="182">
        <f t="shared" si="6"/>
        <v>43.670375745847458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464.5</v>
      </c>
      <c r="E19" s="208">
        <f t="shared" si="7"/>
        <v>80.699999999999989</v>
      </c>
      <c r="F19" s="170">
        <f t="shared" si="5"/>
        <v>13.014029995162065</v>
      </c>
      <c r="G19" s="182">
        <f t="shared" si="6"/>
        <v>30.656345750685393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445.6</v>
      </c>
      <c r="E20" s="209">
        <f t="shared" si="7"/>
        <v>69.400000000000034</v>
      </c>
      <c r="F20" s="170">
        <f t="shared" si="5"/>
        <v>11.191743267214967</v>
      </c>
      <c r="G20" s="182">
        <f t="shared" si="6"/>
        <v>19.464602483470426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4.5750000000000002</v>
      </c>
      <c r="X20" s="116" t="s">
        <v>343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367.6</v>
      </c>
      <c r="E21" s="208">
        <f t="shared" si="7"/>
        <v>36.800000000000011</v>
      </c>
      <c r="F21" s="170">
        <f t="shared" si="5"/>
        <v>5.934526689243671</v>
      </c>
      <c r="G21" s="182">
        <f t="shared" si="6"/>
        <v>13.530075794226754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0.26269999999999999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357.8</v>
      </c>
      <c r="E22" s="209">
        <f t="shared" si="7"/>
        <v>31.699999999999989</v>
      </c>
      <c r="F22" s="170">
        <f t="shared" si="5"/>
        <v>5.112078696984355</v>
      </c>
      <c r="G22" s="182">
        <f t="shared" si="6"/>
        <v>8.4179970972423988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17.415302626570234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317.39999999999998</v>
      </c>
      <c r="E23" s="208">
        <f t="shared" si="7"/>
        <v>13</v>
      </c>
      <c r="F23" s="170">
        <f t="shared" si="5"/>
        <v>2.0964360587002089</v>
      </c>
      <c r="G23" s="211">
        <f t="shared" si="6"/>
        <v>6.3215610385421899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316.2</v>
      </c>
      <c r="E24" s="209">
        <f t="shared" si="7"/>
        <v>2.5</v>
      </c>
      <c r="F24" s="213">
        <f t="shared" si="5"/>
        <v>0.40316078051927096</v>
      </c>
      <c r="G24" s="214">
        <f t="shared" si="6"/>
        <v>5.9184002580229187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8.2454689291999966E-4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369.3</v>
      </c>
      <c r="E25" s="218">
        <f>D25-C25+(G6-C26)</f>
        <v>36.699999999999989</v>
      </c>
      <c r="F25" s="170">
        <f t="shared" si="5"/>
        <v>5.9184002580228965</v>
      </c>
      <c r="G25" s="176">
        <f>G24-F25</f>
        <v>2.2204460492503131E-14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586.4</v>
      </c>
      <c r="D26" s="260" t="s">
        <v>19</v>
      </c>
      <c r="E26" s="221">
        <f>SUM(E12:E25)</f>
        <v>620.10000000000014</v>
      </c>
      <c r="F26" s="305">
        <f>SUM(F12:F25)</f>
        <v>99.999999999999972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1.1999999999998181</v>
      </c>
      <c r="F27" s="310">
        <f>IF((E27/G6*100)&gt;1,"Fehler zu groß",(E27/G6*100))</f>
        <v>0.19314340898113927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5.8678919661199994E-5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4.0000000000000002E-4</v>
      </c>
      <c r="X29" s="286" t="s">
        <v>113</v>
      </c>
      <c r="Y29" s="288">
        <v>3.8000000000000002E-4</v>
      </c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6.0227344645999979E-4</v>
      </c>
      <c r="W36" s="839">
        <v>5.7399999999999997E-4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19"/>
  <dimension ref="A1:Z36"/>
  <sheetViews>
    <sheetView topLeftCell="S10" zoomScale="90" zoomScaleNormal="90" workbookViewId="0">
      <selection activeCell="O12" sqref="O12"/>
    </sheetView>
  </sheetViews>
  <sheetFormatPr baseColWidth="10" defaultRowHeight="12.75" x14ac:dyDescent="0.2"/>
  <cols>
    <col min="1" max="1" width="4.42578125" style="116" customWidth="1"/>
    <col min="2" max="2" width="6.7109375" style="116" customWidth="1"/>
    <col min="3" max="3" width="11.5703125" style="116" customWidth="1"/>
    <col min="4" max="4" width="15.42578125" style="116" customWidth="1"/>
    <col min="5" max="5" width="12" style="116" customWidth="1"/>
    <col min="6" max="6" width="16.28515625" style="116" customWidth="1"/>
    <col min="7" max="7" width="11" style="116" customWidth="1"/>
    <col min="8" max="8" width="2.140625" style="116" customWidth="1"/>
    <col min="9" max="9" width="6.140625" style="116" customWidth="1"/>
    <col min="10" max="10" width="6.42578125" style="116" customWidth="1"/>
    <col min="11" max="11" width="8.7109375" style="116" customWidth="1"/>
    <col min="12" max="12" width="11.28515625" style="116" customWidth="1"/>
    <col min="13" max="13" width="10.85546875" style="116" customWidth="1"/>
    <col min="14" max="14" width="12.42578125" style="116" customWidth="1"/>
    <col min="15" max="15" width="10.5703125" style="116" customWidth="1"/>
    <col min="16" max="17" width="13.42578125" style="116" customWidth="1"/>
    <col min="18" max="18" width="13.140625" style="116" customWidth="1"/>
    <col min="19" max="19" width="19.5703125" style="116" customWidth="1"/>
    <col min="20" max="20" width="5" style="116" customWidth="1"/>
    <col min="21" max="21" width="6.28515625" style="116" customWidth="1"/>
    <col min="22" max="16384" width="11.42578125" style="116"/>
  </cols>
  <sheetData>
    <row r="1" spans="1:26" ht="20.25" customHeight="1" x14ac:dyDescent="0.2">
      <c r="A1" s="884" t="s">
        <v>2</v>
      </c>
      <c r="B1" s="884"/>
      <c r="C1" s="884"/>
      <c r="D1" s="884"/>
      <c r="E1" s="884"/>
      <c r="F1" s="884"/>
      <c r="G1" s="884"/>
      <c r="H1" s="115"/>
      <c r="I1" s="908" t="s">
        <v>81</v>
      </c>
      <c r="J1" s="909"/>
      <c r="K1" s="912" t="s">
        <v>30</v>
      </c>
      <c r="L1" s="912" t="s">
        <v>82</v>
      </c>
      <c r="M1" s="912" t="s">
        <v>29</v>
      </c>
      <c r="N1" s="912" t="s">
        <v>32</v>
      </c>
      <c r="O1" s="912" t="s">
        <v>83</v>
      </c>
      <c r="P1" s="912" t="s">
        <v>84</v>
      </c>
      <c r="Q1" s="912" t="s">
        <v>85</v>
      </c>
      <c r="R1" s="912" t="s">
        <v>39</v>
      </c>
      <c r="S1" s="906" t="s">
        <v>31</v>
      </c>
    </row>
    <row r="2" spans="1:26" ht="18.75" customHeight="1" x14ac:dyDescent="0.2">
      <c r="B2" s="115"/>
      <c r="C2" s="115"/>
      <c r="D2" s="115"/>
      <c r="E2" s="115"/>
      <c r="F2" s="294"/>
      <c r="G2" s="115"/>
      <c r="H2" s="115"/>
      <c r="I2" s="910"/>
      <c r="J2" s="911"/>
      <c r="K2" s="913"/>
      <c r="L2" s="913"/>
      <c r="M2" s="913"/>
      <c r="N2" s="913"/>
      <c r="O2" s="913"/>
      <c r="P2" s="913"/>
      <c r="Q2" s="913"/>
      <c r="R2" s="913"/>
      <c r="S2" s="907"/>
    </row>
    <row r="3" spans="1:26" ht="20.100000000000001" customHeight="1" x14ac:dyDescent="0.35">
      <c r="A3" s="117" t="s">
        <v>23</v>
      </c>
      <c r="B3" s="118"/>
      <c r="C3" s="119">
        <v>137</v>
      </c>
      <c r="D3" s="118" t="s">
        <v>25</v>
      </c>
      <c r="E3" s="121">
        <v>39841</v>
      </c>
      <c r="F3" s="295" t="s">
        <v>42</v>
      </c>
      <c r="G3" s="122"/>
      <c r="H3" s="115"/>
      <c r="I3" s="123" t="s">
        <v>87</v>
      </c>
      <c r="J3" s="124">
        <v>0</v>
      </c>
      <c r="K3" s="125" t="s">
        <v>88</v>
      </c>
      <c r="L3" s="125" t="s">
        <v>88</v>
      </c>
      <c r="M3" s="125" t="s">
        <v>88</v>
      </c>
      <c r="N3" s="125" t="s">
        <v>88</v>
      </c>
      <c r="O3" s="125" t="s">
        <v>88</v>
      </c>
      <c r="P3" s="125" t="s">
        <v>88</v>
      </c>
      <c r="Q3" s="125" t="s">
        <v>88</v>
      </c>
      <c r="R3" s="125" t="s">
        <v>88</v>
      </c>
      <c r="S3" s="126" t="s">
        <v>88</v>
      </c>
    </row>
    <row r="4" spans="1:26" ht="20.100000000000001" customHeight="1" x14ac:dyDescent="0.25">
      <c r="A4" s="127" t="s">
        <v>26</v>
      </c>
      <c r="B4" s="127"/>
      <c r="C4" s="128" t="s">
        <v>89</v>
      </c>
      <c r="D4" s="130" t="s">
        <v>24</v>
      </c>
      <c r="E4" s="128" t="s">
        <v>90</v>
      </c>
      <c r="F4" s="296"/>
      <c r="G4" s="297"/>
      <c r="H4" s="115"/>
      <c r="I4" s="132"/>
      <c r="J4" s="133">
        <v>0.5</v>
      </c>
      <c r="K4" s="134"/>
      <c r="L4" s="135"/>
      <c r="M4" s="133">
        <f t="shared" ref="M4:M12" si="0">(L4-1)*1000</f>
        <v>-1000</v>
      </c>
      <c r="N4" s="133">
        <f t="shared" ref="N4:N12" si="1">M4+$F$33</f>
        <v>-1000</v>
      </c>
      <c r="O4" s="136"/>
      <c r="P4" s="133">
        <f t="shared" ref="P4:P12" si="2">N4+O4</f>
        <v>-1000</v>
      </c>
      <c r="Q4" s="137"/>
      <c r="R4" s="133" t="e">
        <f t="shared" ref="R4:R12" si="3">$F$36*P4</f>
        <v>#DIV/0!</v>
      </c>
      <c r="S4" s="138" t="e">
        <f t="shared" ref="S4:S12" si="4">$G$24/100*R4</f>
        <v>#DIV/0!</v>
      </c>
      <c r="V4" s="350" t="s">
        <v>143</v>
      </c>
    </row>
    <row r="5" spans="1:26" ht="20.100000000000001" customHeight="1" x14ac:dyDescent="0.2">
      <c r="A5" s="127" t="s">
        <v>27</v>
      </c>
      <c r="B5" s="127"/>
      <c r="C5" s="298" t="s">
        <v>135</v>
      </c>
      <c r="D5" s="299"/>
      <c r="E5" s="139" t="s">
        <v>4</v>
      </c>
      <c r="F5" s="300" t="s">
        <v>125</v>
      </c>
      <c r="G5" s="301"/>
      <c r="I5" s="132"/>
      <c r="J5" s="142">
        <v>1</v>
      </c>
      <c r="K5" s="134"/>
      <c r="L5" s="136"/>
      <c r="M5" s="133">
        <f t="shared" si="0"/>
        <v>-1000</v>
      </c>
      <c r="N5" s="133">
        <f t="shared" si="1"/>
        <v>-1000</v>
      </c>
      <c r="O5" s="136"/>
      <c r="P5" s="133">
        <f t="shared" si="2"/>
        <v>-1000</v>
      </c>
      <c r="Q5" s="137"/>
      <c r="R5" s="133" t="e">
        <f t="shared" si="3"/>
        <v>#DIV/0!</v>
      </c>
      <c r="S5" s="138" t="e">
        <f t="shared" si="4"/>
        <v>#DIV/0!</v>
      </c>
    </row>
    <row r="6" spans="1:26" ht="20.100000000000001" customHeight="1" x14ac:dyDescent="0.35">
      <c r="A6" s="143" t="s">
        <v>28</v>
      </c>
      <c r="B6" s="144"/>
      <c r="C6" s="298">
        <v>40</v>
      </c>
      <c r="D6" s="302"/>
      <c r="E6" s="127" t="s">
        <v>41</v>
      </c>
      <c r="F6" s="146"/>
      <c r="G6" s="147">
        <v>609.70000000000005</v>
      </c>
      <c r="I6" s="132"/>
      <c r="J6" s="142">
        <v>2</v>
      </c>
      <c r="K6" s="134"/>
      <c r="L6" s="136"/>
      <c r="M6" s="133">
        <f t="shared" si="0"/>
        <v>-1000</v>
      </c>
      <c r="N6" s="133">
        <f t="shared" si="1"/>
        <v>-1000</v>
      </c>
      <c r="O6" s="136"/>
      <c r="P6" s="133">
        <f t="shared" si="2"/>
        <v>-1000</v>
      </c>
      <c r="Q6" s="137"/>
      <c r="R6" s="133" t="e">
        <f t="shared" si="3"/>
        <v>#DIV/0!</v>
      </c>
      <c r="S6" s="138" t="e">
        <f t="shared" si="4"/>
        <v>#DIV/0!</v>
      </c>
    </row>
    <row r="7" spans="1:26" ht="20.100000000000001" customHeight="1" thickBot="1" x14ac:dyDescent="0.25">
      <c r="A7" s="148"/>
      <c r="B7" s="148"/>
      <c r="C7" s="148"/>
      <c r="D7" s="149"/>
      <c r="E7" s="149"/>
      <c r="F7" s="149"/>
      <c r="G7" s="150"/>
      <c r="I7" s="132"/>
      <c r="J7" s="142">
        <v>5</v>
      </c>
      <c r="K7" s="134"/>
      <c r="L7" s="136"/>
      <c r="M7" s="133">
        <f t="shared" si="0"/>
        <v>-1000</v>
      </c>
      <c r="N7" s="133">
        <f t="shared" si="1"/>
        <v>-1000</v>
      </c>
      <c r="O7" s="136"/>
      <c r="P7" s="133">
        <f t="shared" si="2"/>
        <v>-1000</v>
      </c>
      <c r="Q7" s="137"/>
      <c r="R7" s="133" t="e">
        <f t="shared" si="3"/>
        <v>#DIV/0!</v>
      </c>
      <c r="S7" s="138" t="e">
        <f t="shared" si="4"/>
        <v>#DIV/0!</v>
      </c>
    </row>
    <row r="8" spans="1:26" ht="16.5" customHeight="1" x14ac:dyDescent="0.2">
      <c r="A8" s="151" t="s">
        <v>11</v>
      </c>
      <c r="B8" s="152"/>
      <c r="C8" s="153" t="s">
        <v>34</v>
      </c>
      <c r="D8" s="154" t="s">
        <v>35</v>
      </c>
      <c r="E8" s="887" t="s">
        <v>33</v>
      </c>
      <c r="F8" s="888"/>
      <c r="G8" s="889"/>
      <c r="I8" s="132"/>
      <c r="J8" s="142">
        <v>15</v>
      </c>
      <c r="K8" s="134"/>
      <c r="L8" s="136"/>
      <c r="M8" s="133">
        <f t="shared" si="0"/>
        <v>-1000</v>
      </c>
      <c r="N8" s="133">
        <f t="shared" si="1"/>
        <v>-1000</v>
      </c>
      <c r="O8" s="136"/>
      <c r="P8" s="133">
        <f t="shared" si="2"/>
        <v>-1000</v>
      </c>
      <c r="Q8" s="137"/>
      <c r="R8" s="133" t="e">
        <f t="shared" si="3"/>
        <v>#DIV/0!</v>
      </c>
      <c r="S8" s="138" t="e">
        <f t="shared" si="4"/>
        <v>#DIV/0!</v>
      </c>
      <c r="W8" s="204"/>
      <c r="X8" s="13"/>
      <c r="Y8" s="13"/>
      <c r="Z8" s="13"/>
    </row>
    <row r="9" spans="1:26" ht="18" customHeight="1" x14ac:dyDescent="0.2">
      <c r="A9" s="155"/>
      <c r="B9" s="156"/>
      <c r="C9" s="157" t="s">
        <v>8</v>
      </c>
      <c r="D9" s="158" t="s">
        <v>16</v>
      </c>
      <c r="E9" s="158" t="s">
        <v>18</v>
      </c>
      <c r="F9" s="158" t="s">
        <v>17</v>
      </c>
      <c r="G9" s="890"/>
      <c r="I9" s="132"/>
      <c r="J9" s="142">
        <v>45</v>
      </c>
      <c r="K9" s="134"/>
      <c r="L9" s="135"/>
      <c r="M9" s="133">
        <f t="shared" si="0"/>
        <v>-1000</v>
      </c>
      <c r="N9" s="133">
        <f t="shared" si="1"/>
        <v>-1000</v>
      </c>
      <c r="O9" s="136"/>
      <c r="P9" s="133">
        <f t="shared" si="2"/>
        <v>-1000</v>
      </c>
      <c r="Q9" s="137"/>
      <c r="R9" s="133" t="e">
        <f t="shared" si="3"/>
        <v>#DIV/0!</v>
      </c>
      <c r="S9" s="138" t="e">
        <f t="shared" si="4"/>
        <v>#DIV/0!</v>
      </c>
    </row>
    <row r="10" spans="1:26" ht="18.75" customHeight="1" thickBot="1" x14ac:dyDescent="0.25">
      <c r="A10" s="159" t="s">
        <v>3</v>
      </c>
      <c r="B10" s="160"/>
      <c r="C10" s="161" t="s">
        <v>0</v>
      </c>
      <c r="D10" s="162" t="s">
        <v>0</v>
      </c>
      <c r="E10" s="162" t="s">
        <v>0</v>
      </c>
      <c r="F10" s="162" t="s">
        <v>1</v>
      </c>
      <c r="G10" s="163" t="s">
        <v>1</v>
      </c>
      <c r="I10" s="164" t="s">
        <v>93</v>
      </c>
      <c r="J10" s="142">
        <v>120</v>
      </c>
      <c r="K10" s="134"/>
      <c r="L10" s="136"/>
      <c r="M10" s="133">
        <f t="shared" si="0"/>
        <v>-1000</v>
      </c>
      <c r="N10" s="133">
        <f t="shared" si="1"/>
        <v>-1000</v>
      </c>
      <c r="O10" s="165"/>
      <c r="P10" s="133">
        <f t="shared" si="2"/>
        <v>-1000</v>
      </c>
      <c r="Q10" s="137"/>
      <c r="R10" s="133" t="e">
        <f t="shared" si="3"/>
        <v>#DIV/0!</v>
      </c>
      <c r="S10" s="138" t="e">
        <f t="shared" si="4"/>
        <v>#DIV/0!</v>
      </c>
    </row>
    <row r="11" spans="1:26" ht="18.75" customHeight="1" x14ac:dyDescent="0.2">
      <c r="A11" s="876" t="s">
        <v>12</v>
      </c>
      <c r="B11" s="166">
        <v>50</v>
      </c>
      <c r="C11" s="167" t="s">
        <v>21</v>
      </c>
      <c r="D11" s="168">
        <v>0</v>
      </c>
      <c r="E11" s="169">
        <f>D11</f>
        <v>0</v>
      </c>
      <c r="F11" s="170">
        <f>E11/$E$26*100</f>
        <v>0</v>
      </c>
      <c r="G11" s="303">
        <v>100</v>
      </c>
      <c r="I11" s="164" t="s">
        <v>94</v>
      </c>
      <c r="J11" s="142">
        <v>360</v>
      </c>
      <c r="K11" s="177"/>
      <c r="L11" s="136"/>
      <c r="M11" s="133">
        <f t="shared" si="0"/>
        <v>-1000</v>
      </c>
      <c r="N11" s="133">
        <f t="shared" si="1"/>
        <v>-1000</v>
      </c>
      <c r="O11" s="165"/>
      <c r="P11" s="133">
        <f t="shared" si="2"/>
        <v>-1000</v>
      </c>
      <c r="Q11" s="137"/>
      <c r="R11" s="133" t="e">
        <f t="shared" si="3"/>
        <v>#DIV/0!</v>
      </c>
      <c r="S11" s="138" t="e">
        <f t="shared" si="4"/>
        <v>#DIV/0!</v>
      </c>
    </row>
    <row r="12" spans="1:26" ht="19.5" customHeight="1" thickBot="1" x14ac:dyDescent="0.25">
      <c r="A12" s="877"/>
      <c r="B12" s="172">
        <v>40</v>
      </c>
      <c r="C12" s="173" t="s">
        <v>21</v>
      </c>
      <c r="D12" s="174">
        <v>55.7</v>
      </c>
      <c r="E12" s="175">
        <f>D12</f>
        <v>55.7</v>
      </c>
      <c r="F12" s="170">
        <f t="shared" ref="F12:F25" si="5">E12/$E$26*100</f>
        <v>9.1732542819499319</v>
      </c>
      <c r="G12" s="176">
        <f t="shared" ref="G12:G25" si="6">G11-F12</f>
        <v>90.826745718050063</v>
      </c>
      <c r="I12" s="183" t="s">
        <v>95</v>
      </c>
      <c r="J12" s="184">
        <v>1440</v>
      </c>
      <c r="K12" s="185"/>
      <c r="L12" s="186"/>
      <c r="M12" s="187">
        <f t="shared" si="0"/>
        <v>-1000</v>
      </c>
      <c r="N12" s="187">
        <f t="shared" si="1"/>
        <v>-1000</v>
      </c>
      <c r="O12" s="188"/>
      <c r="P12" s="187">
        <f t="shared" si="2"/>
        <v>-1000</v>
      </c>
      <c r="Q12" s="189"/>
      <c r="R12" s="187" t="e">
        <f t="shared" si="3"/>
        <v>#DIV/0!</v>
      </c>
      <c r="S12" s="190" t="e">
        <f t="shared" si="4"/>
        <v>#DIV/0!</v>
      </c>
    </row>
    <row r="13" spans="1:26" ht="19.5" customHeight="1" x14ac:dyDescent="0.2">
      <c r="A13" s="877"/>
      <c r="B13" s="178">
        <v>30</v>
      </c>
      <c r="C13" s="179" t="s">
        <v>21</v>
      </c>
      <c r="D13" s="180">
        <v>0</v>
      </c>
      <c r="E13" s="181">
        <f>D13</f>
        <v>0</v>
      </c>
      <c r="F13" s="170">
        <f t="shared" si="5"/>
        <v>0</v>
      </c>
      <c r="G13" s="182">
        <f t="shared" si="6"/>
        <v>90.826745718050063</v>
      </c>
    </row>
    <row r="14" spans="1:26" ht="19.5" customHeight="1" thickBot="1" x14ac:dyDescent="0.25">
      <c r="A14" s="877"/>
      <c r="B14" s="178">
        <v>20</v>
      </c>
      <c r="C14" s="179" t="s">
        <v>21</v>
      </c>
      <c r="D14" s="180">
        <v>57.5</v>
      </c>
      <c r="E14" s="181">
        <f>D14</f>
        <v>57.5</v>
      </c>
      <c r="F14" s="170">
        <f t="shared" si="5"/>
        <v>9.4696969696969671</v>
      </c>
      <c r="G14" s="182">
        <f t="shared" si="6"/>
        <v>81.357048748353094</v>
      </c>
    </row>
    <row r="15" spans="1:26" ht="19.5" customHeight="1" thickBot="1" x14ac:dyDescent="0.25">
      <c r="A15" s="878"/>
      <c r="B15" s="191">
        <v>10</v>
      </c>
      <c r="C15" s="192" t="s">
        <v>21</v>
      </c>
      <c r="D15" s="193">
        <v>53.3</v>
      </c>
      <c r="E15" s="175">
        <f>D15</f>
        <v>53.3</v>
      </c>
      <c r="F15" s="194">
        <f t="shared" si="5"/>
        <v>8.7779973649538832</v>
      </c>
      <c r="G15" s="195">
        <f t="shared" si="6"/>
        <v>72.579051383399218</v>
      </c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V15" s="291" t="s">
        <v>122</v>
      </c>
      <c r="W15" s="273"/>
      <c r="X15" s="13"/>
      <c r="Y15" s="13"/>
      <c r="Z15" s="13"/>
    </row>
    <row r="16" spans="1:26" ht="19.5" customHeight="1" x14ac:dyDescent="0.2">
      <c r="A16" s="876" t="s">
        <v>13</v>
      </c>
      <c r="B16" s="199">
        <v>6.3</v>
      </c>
      <c r="C16" s="200">
        <v>630.4</v>
      </c>
      <c r="D16" s="201">
        <v>641</v>
      </c>
      <c r="E16" s="202">
        <f t="shared" ref="E16:E24" si="7">D16-C16</f>
        <v>10.600000000000023</v>
      </c>
      <c r="F16" s="170">
        <f t="shared" si="5"/>
        <v>1.7457180500658795</v>
      </c>
      <c r="G16" s="176">
        <f t="shared" si="6"/>
        <v>70.833333333333343</v>
      </c>
      <c r="I16" s="204"/>
      <c r="J16" s="204"/>
      <c r="K16" s="204"/>
      <c r="L16" s="204"/>
      <c r="M16" s="204"/>
      <c r="N16" s="204"/>
      <c r="O16" s="204"/>
      <c r="P16" s="204"/>
      <c r="Q16" s="204"/>
      <c r="R16" s="204"/>
      <c r="S16" s="204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877"/>
      <c r="B17" s="206">
        <v>4</v>
      </c>
      <c r="C17" s="179">
        <v>519.29999999999995</v>
      </c>
      <c r="D17" s="207">
        <v>559.9</v>
      </c>
      <c r="E17" s="208">
        <f t="shared" si="7"/>
        <v>40.600000000000023</v>
      </c>
      <c r="F17" s="170">
        <f t="shared" si="5"/>
        <v>6.6864295125164714</v>
      </c>
      <c r="G17" s="182">
        <f t="shared" si="6"/>
        <v>64.146903820816874</v>
      </c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V17" s="293" t="s">
        <v>124</v>
      </c>
      <c r="W17" s="283"/>
    </row>
    <row r="18" spans="1:26" ht="21.95" customHeight="1" x14ac:dyDescent="0.2">
      <c r="A18" s="877"/>
      <c r="B18" s="206">
        <v>2</v>
      </c>
      <c r="C18" s="179">
        <v>506.2</v>
      </c>
      <c r="D18" s="207">
        <v>560.4</v>
      </c>
      <c r="E18" s="209">
        <f t="shared" si="7"/>
        <v>54.199999999999989</v>
      </c>
      <c r="F18" s="170">
        <f t="shared" si="5"/>
        <v>8.9262187088274008</v>
      </c>
      <c r="G18" s="182">
        <f t="shared" si="6"/>
        <v>55.220685111989475</v>
      </c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04"/>
    </row>
    <row r="19" spans="1:26" ht="21.95" customHeight="1" x14ac:dyDescent="0.2">
      <c r="A19" s="877"/>
      <c r="B19" s="206">
        <v>1</v>
      </c>
      <c r="C19" s="179">
        <v>383.8</v>
      </c>
      <c r="D19" s="207">
        <v>446.9</v>
      </c>
      <c r="E19" s="208">
        <f t="shared" si="7"/>
        <v>63.099999999999966</v>
      </c>
      <c r="F19" s="170">
        <f t="shared" si="5"/>
        <v>10.391963109354405</v>
      </c>
      <c r="G19" s="182">
        <f t="shared" si="6"/>
        <v>44.828722002635068</v>
      </c>
      <c r="I19" s="204"/>
      <c r="J19" s="204"/>
      <c r="K19" s="204"/>
      <c r="L19" s="204"/>
      <c r="M19" s="204"/>
      <c r="N19" s="204"/>
      <c r="O19" s="204"/>
      <c r="P19" s="204"/>
      <c r="Q19" s="204"/>
      <c r="R19" s="204"/>
      <c r="S19" s="204"/>
      <c r="V19" s="264" t="s">
        <v>109</v>
      </c>
      <c r="W19" s="266">
        <v>11</v>
      </c>
    </row>
    <row r="20" spans="1:26" ht="21.95" customHeight="1" x14ac:dyDescent="0.2">
      <c r="A20" s="877"/>
      <c r="B20" s="178">
        <v>0.63</v>
      </c>
      <c r="C20" s="179">
        <v>376.2</v>
      </c>
      <c r="D20" s="207">
        <v>481.8</v>
      </c>
      <c r="E20" s="209">
        <f t="shared" si="7"/>
        <v>105.60000000000002</v>
      </c>
      <c r="F20" s="170">
        <f t="shared" si="5"/>
        <v>17.391304347826086</v>
      </c>
      <c r="G20" s="182">
        <f t="shared" si="6"/>
        <v>27.437417654808982</v>
      </c>
      <c r="I20" s="204"/>
      <c r="J20" s="204"/>
      <c r="K20" s="204"/>
      <c r="L20" s="204"/>
      <c r="M20" s="204"/>
      <c r="N20" s="204"/>
      <c r="O20" s="204"/>
      <c r="P20" s="204"/>
      <c r="Q20" s="204"/>
      <c r="R20" s="204"/>
      <c r="S20" s="204"/>
      <c r="V20" s="264" t="s">
        <v>107</v>
      </c>
      <c r="W20" s="266">
        <v>3.0787</v>
      </c>
      <c r="X20" s="116" t="s">
        <v>343</v>
      </c>
    </row>
    <row r="21" spans="1:26" ht="21.95" customHeight="1" thickBot="1" x14ac:dyDescent="0.25">
      <c r="A21" s="877"/>
      <c r="B21" s="210">
        <v>0.4</v>
      </c>
      <c r="C21" s="179">
        <v>330.8</v>
      </c>
      <c r="D21" s="207">
        <v>388.5</v>
      </c>
      <c r="E21" s="208">
        <f t="shared" si="7"/>
        <v>57.699999999999989</v>
      </c>
      <c r="F21" s="170">
        <f t="shared" si="5"/>
        <v>9.5026350461133031</v>
      </c>
      <c r="G21" s="182">
        <f t="shared" si="6"/>
        <v>17.934782608695677</v>
      </c>
      <c r="I21" s="204"/>
      <c r="J21" s="204"/>
      <c r="K21" s="204"/>
      <c r="L21" s="204"/>
      <c r="M21" s="204"/>
      <c r="N21" s="204"/>
      <c r="O21" s="204"/>
      <c r="P21" s="204"/>
      <c r="Q21" s="204"/>
      <c r="R21" s="204"/>
      <c r="S21" s="204"/>
      <c r="V21" s="264" t="s">
        <v>108</v>
      </c>
      <c r="W21" s="266">
        <v>0.22639999999999999</v>
      </c>
    </row>
    <row r="22" spans="1:26" ht="21.95" customHeight="1" thickBot="1" x14ac:dyDescent="0.3">
      <c r="A22" s="877"/>
      <c r="B22" s="210">
        <v>0.2</v>
      </c>
      <c r="C22" s="179">
        <v>326.10000000000002</v>
      </c>
      <c r="D22" s="207">
        <v>381.2</v>
      </c>
      <c r="E22" s="209">
        <f t="shared" si="7"/>
        <v>55.099999999999966</v>
      </c>
      <c r="F22" s="170">
        <f t="shared" si="5"/>
        <v>9.0744400527009148</v>
      </c>
      <c r="G22" s="182">
        <f t="shared" si="6"/>
        <v>8.8603425559947624</v>
      </c>
      <c r="I22" s="204"/>
      <c r="J22" s="204"/>
      <c r="K22" s="204"/>
      <c r="L22" s="204"/>
      <c r="M22" s="204"/>
      <c r="N22" s="204"/>
      <c r="O22" s="204"/>
      <c r="P22" s="204"/>
      <c r="Q22" s="204"/>
      <c r="R22" s="204"/>
      <c r="S22" s="204"/>
      <c r="U22" s="284" t="s">
        <v>119</v>
      </c>
      <c r="V22" s="285" t="s">
        <v>106</v>
      </c>
      <c r="W22" s="290">
        <f>W20/W21</f>
        <v>13.598498233215548</v>
      </c>
    </row>
    <row r="23" spans="1:26" ht="21.95" customHeight="1" thickBot="1" x14ac:dyDescent="0.25">
      <c r="A23" s="877"/>
      <c r="B23" s="210">
        <v>0.1</v>
      </c>
      <c r="C23" s="179">
        <v>304.39999999999998</v>
      </c>
      <c r="D23" s="207">
        <v>318.2</v>
      </c>
      <c r="E23" s="208">
        <f t="shared" si="7"/>
        <v>13.800000000000011</v>
      </c>
      <c r="F23" s="170">
        <f t="shared" si="5"/>
        <v>2.2727272727272738</v>
      </c>
      <c r="G23" s="211">
        <f t="shared" si="6"/>
        <v>6.587615283267489</v>
      </c>
      <c r="I23" s="204"/>
      <c r="J23" s="204"/>
      <c r="K23" s="204"/>
      <c r="L23" s="204"/>
      <c r="M23" s="204"/>
      <c r="N23" s="204"/>
      <c r="O23" s="204"/>
      <c r="P23" s="204"/>
      <c r="Q23" s="204"/>
      <c r="R23" s="204"/>
      <c r="S23" s="204"/>
    </row>
    <row r="24" spans="1:26" ht="21.95" customHeight="1" thickBot="1" x14ac:dyDescent="0.3">
      <c r="A24" s="879"/>
      <c r="B24" s="212">
        <v>6.3E-2</v>
      </c>
      <c r="C24" s="179">
        <v>313.7</v>
      </c>
      <c r="D24" s="207">
        <v>317.89999999999998</v>
      </c>
      <c r="E24" s="209">
        <f t="shared" si="7"/>
        <v>4.1999999999999886</v>
      </c>
      <c r="F24" s="213">
        <f t="shared" si="5"/>
        <v>0.6916996047430809</v>
      </c>
      <c r="G24" s="214">
        <f t="shared" si="6"/>
        <v>5.8959156785244078</v>
      </c>
      <c r="I24" s="204"/>
      <c r="J24" s="204"/>
      <c r="K24" s="204"/>
      <c r="L24" s="204"/>
      <c r="M24" s="204"/>
      <c r="N24" s="204"/>
      <c r="O24" s="204"/>
      <c r="P24" s="204"/>
      <c r="Q24" s="204"/>
      <c r="R24" s="204"/>
      <c r="S24" s="204"/>
      <c r="V24" s="269" t="s">
        <v>111</v>
      </c>
      <c r="W24" s="270">
        <f>0.0116*(W21*W21)*(0.7+0.03*W19)</f>
        <v>6.1241815807999982E-4</v>
      </c>
    </row>
    <row r="25" spans="1:26" ht="21.95" customHeight="1" thickBot="1" x14ac:dyDescent="0.3">
      <c r="A25" s="215"/>
      <c r="B25" s="191" t="s">
        <v>14</v>
      </c>
      <c r="C25" s="216">
        <v>367.5</v>
      </c>
      <c r="D25" s="217">
        <v>368.1</v>
      </c>
      <c r="E25" s="218">
        <f>D25-C25+(G6-C26)</f>
        <v>35.800000000000068</v>
      </c>
      <c r="F25" s="170">
        <f t="shared" si="5"/>
        <v>5.8959156785243838</v>
      </c>
      <c r="G25" s="176">
        <f t="shared" si="6"/>
        <v>2.3980817331903381E-14</v>
      </c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V25" s="265"/>
      <c r="W25" s="268"/>
    </row>
    <row r="26" spans="1:26" ht="21.95" customHeight="1" x14ac:dyDescent="0.2">
      <c r="A26" s="880" t="s">
        <v>40</v>
      </c>
      <c r="B26" s="881"/>
      <c r="C26" s="304">
        <v>574.5</v>
      </c>
      <c r="D26" s="260" t="s">
        <v>19</v>
      </c>
      <c r="E26" s="221">
        <f>SUM(E12:E25)</f>
        <v>607.20000000000016</v>
      </c>
      <c r="F26" s="305">
        <f>SUM(F12:F25)</f>
        <v>100</v>
      </c>
      <c r="G26" s="306" t="s">
        <v>20</v>
      </c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V26" s="271" t="s">
        <v>110</v>
      </c>
      <c r="W26" s="272">
        <v>1.16E-3</v>
      </c>
      <c r="X26" s="273"/>
    </row>
    <row r="27" spans="1:26" ht="21.95" customHeight="1" thickBot="1" x14ac:dyDescent="0.3">
      <c r="A27" s="882" t="s">
        <v>43</v>
      </c>
      <c r="B27" s="883"/>
      <c r="C27" s="307">
        <f>(G3-G6)/G6</f>
        <v>-1</v>
      </c>
      <c r="D27" s="308" t="s">
        <v>22</v>
      </c>
      <c r="E27" s="309">
        <f>G6-E26</f>
        <v>2.4999999999998863</v>
      </c>
      <c r="F27" s="310">
        <f>IF((E27/G6*100)&gt;1,"Fehler zu groß",(E27/G6*100))</f>
        <v>0.41003772347054057</v>
      </c>
      <c r="G27" s="311" t="s">
        <v>20</v>
      </c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V27" s="274" t="s">
        <v>112</v>
      </c>
      <c r="W27" s="275">
        <f>W26*(W21*W21)*(0.7+0.003*W19)</f>
        <v>4.3582767948799994E-5</v>
      </c>
      <c r="X27" s="276" t="str">
        <f>IF(W22&lt;5.000001,"OK","U größer 5")</f>
        <v>U größer 5</v>
      </c>
    </row>
    <row r="28" spans="1:26" ht="16.5" customHeight="1" thickBot="1" x14ac:dyDescent="0.25">
      <c r="A28" s="204"/>
      <c r="B28" s="231"/>
      <c r="C28" s="231"/>
      <c r="D28" s="232"/>
      <c r="E28" s="232"/>
      <c r="F28" s="233"/>
      <c r="G28" s="233"/>
      <c r="I28" s="204"/>
      <c r="J28" s="204"/>
      <c r="K28" s="204"/>
      <c r="L28" s="204"/>
      <c r="M28" s="204"/>
      <c r="N28" s="204"/>
      <c r="O28" s="204"/>
      <c r="P28" s="204"/>
      <c r="Q28" s="204"/>
      <c r="R28" s="204"/>
      <c r="S28" s="204"/>
    </row>
    <row r="29" spans="1:26" ht="18" customHeight="1" thickBot="1" x14ac:dyDescent="0.3">
      <c r="A29" s="884" t="s">
        <v>37</v>
      </c>
      <c r="B29" s="884"/>
      <c r="C29" s="884"/>
      <c r="D29" s="884"/>
      <c r="E29" s="884"/>
      <c r="F29" s="884"/>
      <c r="G29" s="884"/>
      <c r="I29" s="204"/>
      <c r="J29" s="204"/>
      <c r="K29" s="204"/>
      <c r="L29" s="204"/>
      <c r="M29" s="204"/>
      <c r="N29" s="204"/>
      <c r="O29" s="204"/>
      <c r="P29" s="204"/>
      <c r="Q29" s="204"/>
      <c r="R29" s="204"/>
      <c r="S29" s="204"/>
      <c r="V29" s="277" t="s">
        <v>120</v>
      </c>
      <c r="W29" s="287">
        <v>2.9999999999999997E-4</v>
      </c>
      <c r="X29" s="286" t="s">
        <v>113</v>
      </c>
      <c r="Y29" s="288">
        <v>2.9999999999999997E-4</v>
      </c>
      <c r="Z29" s="286" t="s">
        <v>114</v>
      </c>
    </row>
    <row r="30" spans="1:26" ht="18" customHeight="1" x14ac:dyDescent="0.2">
      <c r="A30" s="234" t="s">
        <v>38</v>
      </c>
      <c r="B30" s="234"/>
      <c r="C30" s="234"/>
      <c r="D30" s="234"/>
      <c r="E30" s="234"/>
      <c r="F30" s="234"/>
      <c r="G30" s="234"/>
      <c r="I30" s="204"/>
      <c r="J30" s="235"/>
      <c r="K30" s="235"/>
      <c r="L30" s="235"/>
      <c r="M30" s="235"/>
      <c r="N30" s="204"/>
      <c r="O30" s="204"/>
      <c r="P30" s="204"/>
      <c r="Q30" s="204"/>
      <c r="R30" s="204"/>
      <c r="S30" s="204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312" t="s">
        <v>44</v>
      </c>
      <c r="B31" s="313"/>
      <c r="C31" s="313"/>
      <c r="D31" s="313"/>
      <c r="E31" s="313"/>
      <c r="F31" s="314">
        <f>30*(1+C27)*100/G24</f>
        <v>0</v>
      </c>
      <c r="G31" s="315" t="s">
        <v>5</v>
      </c>
      <c r="I31" s="237"/>
      <c r="J31" s="237"/>
      <c r="K31" s="237"/>
      <c r="L31" s="237"/>
      <c r="M31" s="204"/>
      <c r="N31" s="204"/>
      <c r="O31" s="204"/>
      <c r="P31" s="204"/>
      <c r="Q31" s="204"/>
      <c r="R31" s="204"/>
      <c r="S31" s="204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238" t="s">
        <v>96</v>
      </c>
      <c r="B32" s="239"/>
      <c r="C32" s="239"/>
      <c r="D32" s="239"/>
      <c r="E32" s="240"/>
      <c r="F32" s="241"/>
      <c r="G32" s="316" t="s">
        <v>97</v>
      </c>
      <c r="I32" s="237"/>
      <c r="J32" s="237"/>
      <c r="K32" s="243"/>
      <c r="L32" s="243"/>
      <c r="M32" s="204"/>
      <c r="N32" s="204"/>
      <c r="O32" s="204"/>
      <c r="P32" s="204"/>
      <c r="Q32" s="204"/>
      <c r="R32" s="204"/>
      <c r="S32" s="204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238" t="s">
        <v>98</v>
      </c>
      <c r="B33" s="239"/>
      <c r="C33" s="239"/>
      <c r="D33" s="239"/>
      <c r="E33" s="240"/>
      <c r="F33" s="244"/>
      <c r="G33" s="317" t="s">
        <v>5</v>
      </c>
      <c r="I33" s="318"/>
      <c r="J33" s="243"/>
      <c r="K33" s="243"/>
      <c r="L33" s="247"/>
      <c r="M33" s="204"/>
      <c r="N33" s="204"/>
      <c r="O33" s="204"/>
      <c r="P33" s="204"/>
      <c r="Q33" s="204"/>
      <c r="R33" s="204"/>
      <c r="S33" s="204"/>
      <c r="V33" s="280" t="s">
        <v>118</v>
      </c>
      <c r="W33" s="319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238" t="s">
        <v>9</v>
      </c>
      <c r="B34" s="239"/>
      <c r="C34" s="239"/>
      <c r="D34" s="239"/>
      <c r="E34" s="240"/>
      <c r="F34" s="244"/>
      <c r="G34" s="317" t="s">
        <v>6</v>
      </c>
      <c r="I34" s="318"/>
      <c r="J34" s="243"/>
      <c r="K34" s="243"/>
      <c r="L34" s="247"/>
      <c r="M34" s="204"/>
      <c r="N34" s="204"/>
      <c r="O34" s="204"/>
      <c r="P34" s="204"/>
      <c r="Q34" s="204"/>
      <c r="R34" s="204"/>
      <c r="S34" s="204"/>
    </row>
    <row r="35" spans="1:26" ht="21.95" customHeight="1" x14ac:dyDescent="0.3">
      <c r="A35" s="238" t="s">
        <v>36</v>
      </c>
      <c r="B35" s="239"/>
      <c r="C35" s="239"/>
      <c r="D35" s="239"/>
      <c r="E35" s="240"/>
      <c r="F35" s="244"/>
      <c r="G35" s="245" t="s">
        <v>7</v>
      </c>
      <c r="I35" s="318"/>
      <c r="J35" s="243"/>
      <c r="K35" s="243"/>
      <c r="L35" s="247"/>
      <c r="M35" s="204"/>
      <c r="N35" s="204"/>
      <c r="O35" s="204"/>
      <c r="P35" s="204"/>
      <c r="Q35" s="204"/>
      <c r="R35" s="204"/>
      <c r="S35" s="204"/>
      <c r="V35" s="265" t="s">
        <v>121</v>
      </c>
      <c r="W35" s="116" t="s">
        <v>333</v>
      </c>
    </row>
    <row r="36" spans="1:26" ht="16.5" x14ac:dyDescent="0.3">
      <c r="A36" s="238" t="s">
        <v>10</v>
      </c>
      <c r="B36" s="248"/>
      <c r="C36" s="248"/>
      <c r="D36" s="249"/>
      <c r="E36" s="240"/>
      <c r="F36" s="250" t="e">
        <f>100/F35*F34/(F34-1)</f>
        <v>#DIV/0!</v>
      </c>
      <c r="G36" s="251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V36" s="267">
        <f>(W24+Y29)/2</f>
        <v>4.5620907903999987E-4</v>
      </c>
      <c r="W36" s="839">
        <v>4.3449999999999999E-4</v>
      </c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S1:S2"/>
    <mergeCell ref="K1:K2"/>
    <mergeCell ref="L1:L2"/>
    <mergeCell ref="M1:M2"/>
    <mergeCell ref="N1:N2"/>
    <mergeCell ref="O1:O2"/>
    <mergeCell ref="P1:P2"/>
    <mergeCell ref="A29:G29"/>
    <mergeCell ref="Q1:Q2"/>
    <mergeCell ref="R1:R2"/>
    <mergeCell ref="G8:G9"/>
    <mergeCell ref="A26:B26"/>
    <mergeCell ref="A1:G1"/>
    <mergeCell ref="E8:F8"/>
    <mergeCell ref="I1:J2"/>
    <mergeCell ref="A11:A15"/>
    <mergeCell ref="A27:B27"/>
    <mergeCell ref="A16:A24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20"/>
  <dimension ref="A1:Z36"/>
  <sheetViews>
    <sheetView topLeftCell="R5" zoomScale="90" zoomScaleNormal="90" workbookViewId="0">
      <selection activeCell="V15" sqref="V15:Z36"/>
    </sheetView>
  </sheetViews>
  <sheetFormatPr baseColWidth="10" defaultRowHeight="12.75" x14ac:dyDescent="0.2"/>
  <cols>
    <col min="1" max="1" width="4.42578125" customWidth="1"/>
    <col min="2" max="2" width="5.7109375" customWidth="1"/>
    <col min="3" max="3" width="11.5703125" customWidth="1"/>
    <col min="4" max="4" width="15.42578125" customWidth="1"/>
    <col min="5" max="5" width="12" customWidth="1"/>
    <col min="6" max="6" width="16.28515625" customWidth="1"/>
    <col min="7" max="7" width="11" customWidth="1"/>
    <col min="8" max="8" width="2.140625" customWidth="1"/>
    <col min="9" max="9" width="6.140625" customWidth="1"/>
    <col min="10" max="10" width="6.42578125" customWidth="1"/>
    <col min="11" max="11" width="8.7109375" customWidth="1"/>
    <col min="12" max="12" width="11.28515625" customWidth="1"/>
    <col min="13" max="13" width="10.85546875" customWidth="1"/>
    <col min="14" max="14" width="12.42578125" customWidth="1"/>
    <col min="15" max="15" width="10.5703125" customWidth="1"/>
    <col min="16" max="17" width="13.42578125" customWidth="1"/>
    <col min="18" max="18" width="13.140625" customWidth="1"/>
    <col min="19" max="19" width="19.5703125" customWidth="1"/>
    <col min="20" max="20" width="5" customWidth="1"/>
    <col min="21" max="21" width="6.28515625" customWidth="1"/>
  </cols>
  <sheetData>
    <row r="1" spans="1:26" ht="20.25" customHeight="1" x14ac:dyDescent="0.2">
      <c r="A1" s="861" t="s">
        <v>2</v>
      </c>
      <c r="B1" s="861"/>
      <c r="C1" s="861"/>
      <c r="D1" s="861"/>
      <c r="E1" s="861"/>
      <c r="F1" s="861"/>
      <c r="G1" s="861"/>
      <c r="H1" s="1"/>
      <c r="I1" s="996" t="s">
        <v>81</v>
      </c>
      <c r="J1" s="997"/>
      <c r="K1" s="994" t="s">
        <v>30</v>
      </c>
      <c r="L1" s="994" t="s">
        <v>82</v>
      </c>
      <c r="M1" s="994" t="s">
        <v>29</v>
      </c>
      <c r="N1" s="994" t="s">
        <v>32</v>
      </c>
      <c r="O1" s="994" t="s">
        <v>83</v>
      </c>
      <c r="P1" s="994" t="s">
        <v>84</v>
      </c>
      <c r="Q1" s="994" t="s">
        <v>85</v>
      </c>
      <c r="R1" s="994" t="s">
        <v>39</v>
      </c>
      <c r="S1" s="1000" t="s">
        <v>31</v>
      </c>
    </row>
    <row r="2" spans="1:26" ht="18.75" customHeight="1" x14ac:dyDescent="0.2">
      <c r="B2" s="1"/>
      <c r="C2" s="1"/>
      <c r="D2" s="1"/>
      <c r="E2" s="1"/>
      <c r="F2" s="98"/>
      <c r="G2" s="1"/>
      <c r="H2" s="1"/>
      <c r="I2" s="998"/>
      <c r="J2" s="999"/>
      <c r="K2" s="995"/>
      <c r="L2" s="995"/>
      <c r="M2" s="995"/>
      <c r="N2" s="995"/>
      <c r="O2" s="995"/>
      <c r="P2" s="995"/>
      <c r="Q2" s="995"/>
      <c r="R2" s="995"/>
      <c r="S2" s="1001"/>
    </row>
    <row r="3" spans="1:26" ht="20.100000000000001" customHeight="1" x14ac:dyDescent="0.35">
      <c r="A3" s="43" t="s">
        <v>23</v>
      </c>
      <c r="B3" s="70"/>
      <c r="C3" s="39">
        <v>133</v>
      </c>
      <c r="D3" s="70" t="s">
        <v>25</v>
      </c>
      <c r="E3" s="90">
        <v>39857</v>
      </c>
      <c r="F3" s="99" t="s">
        <v>42</v>
      </c>
      <c r="G3" s="46"/>
      <c r="H3" s="1"/>
      <c r="I3" s="351" t="s">
        <v>87</v>
      </c>
      <c r="J3" s="352">
        <v>0</v>
      </c>
      <c r="K3" s="353" t="s">
        <v>88</v>
      </c>
      <c r="L3" s="353" t="s">
        <v>88</v>
      </c>
      <c r="M3" s="353" t="s">
        <v>88</v>
      </c>
      <c r="N3" s="353" t="s">
        <v>88</v>
      </c>
      <c r="O3" s="353" t="s">
        <v>88</v>
      </c>
      <c r="P3" s="353" t="s">
        <v>88</v>
      </c>
      <c r="Q3" s="353" t="s">
        <v>88</v>
      </c>
      <c r="R3" s="353" t="s">
        <v>88</v>
      </c>
      <c r="S3" s="354" t="s">
        <v>88</v>
      </c>
    </row>
    <row r="4" spans="1:26" ht="20.100000000000001" customHeight="1" x14ac:dyDescent="0.2">
      <c r="A4" s="44" t="s">
        <v>26</v>
      </c>
      <c r="B4" s="44"/>
      <c r="C4" s="45" t="s">
        <v>89</v>
      </c>
      <c r="D4" s="73" t="s">
        <v>24</v>
      </c>
      <c r="E4" s="45" t="s">
        <v>90</v>
      </c>
      <c r="F4" s="113"/>
      <c r="G4" s="114"/>
      <c r="H4" s="1"/>
      <c r="I4" s="355"/>
      <c r="J4" s="5">
        <v>0.5</v>
      </c>
      <c r="K4" s="63"/>
      <c r="L4" s="64"/>
      <c r="M4" s="5">
        <f t="shared" ref="M4:M10" si="0">(L4-1)*1000</f>
        <v>-1000</v>
      </c>
      <c r="N4" s="5">
        <f t="shared" ref="N4:N10" si="1">M4+$F$33</f>
        <v>-1000</v>
      </c>
      <c r="O4" s="356"/>
      <c r="P4" s="5">
        <f t="shared" ref="P4:P10" si="2">N4+O4</f>
        <v>-1000</v>
      </c>
      <c r="Q4" s="357"/>
      <c r="R4" s="5" t="e">
        <f t="shared" ref="R4:R10" si="3">$F$36*P4</f>
        <v>#DIV/0!</v>
      </c>
      <c r="S4" s="7" t="e">
        <f t="shared" ref="S4:S10" si="4">$G$24/100*R4</f>
        <v>#DIV/0!</v>
      </c>
    </row>
    <row r="5" spans="1:26" ht="20.100000000000001" customHeight="1" x14ac:dyDescent="0.2">
      <c r="A5" s="44" t="s">
        <v>27</v>
      </c>
      <c r="B5" s="44"/>
      <c r="C5" s="92" t="s">
        <v>127</v>
      </c>
      <c r="D5" s="93"/>
      <c r="E5" s="71" t="s">
        <v>4</v>
      </c>
      <c r="F5" s="95" t="s">
        <v>125</v>
      </c>
      <c r="G5" s="96"/>
      <c r="I5" s="355"/>
      <c r="J5" s="50">
        <v>1</v>
      </c>
      <c r="K5" s="63"/>
      <c r="L5" s="356"/>
      <c r="M5" s="5">
        <f t="shared" si="0"/>
        <v>-1000</v>
      </c>
      <c r="N5" s="5">
        <f t="shared" si="1"/>
        <v>-1000</v>
      </c>
      <c r="O5" s="356"/>
      <c r="P5" s="5">
        <f t="shared" si="2"/>
        <v>-1000</v>
      </c>
      <c r="Q5" s="357"/>
      <c r="R5" s="5" t="e">
        <f t="shared" si="3"/>
        <v>#DIV/0!</v>
      </c>
      <c r="S5" s="7" t="e">
        <f t="shared" si="4"/>
        <v>#DIV/0!</v>
      </c>
    </row>
    <row r="6" spans="1:26" ht="20.100000000000001" customHeight="1" x14ac:dyDescent="0.35">
      <c r="A6" s="77" t="s">
        <v>28</v>
      </c>
      <c r="B6" s="74"/>
      <c r="C6" s="92">
        <v>40</v>
      </c>
      <c r="D6" s="94"/>
      <c r="E6" s="44" t="s">
        <v>41</v>
      </c>
      <c r="F6" s="75"/>
      <c r="G6" s="76">
        <v>441.2</v>
      </c>
      <c r="I6" s="355"/>
      <c r="J6" s="50">
        <v>2</v>
      </c>
      <c r="K6" s="63"/>
      <c r="L6" s="356"/>
      <c r="M6" s="5">
        <f t="shared" si="0"/>
        <v>-1000</v>
      </c>
      <c r="N6" s="5">
        <f t="shared" si="1"/>
        <v>-1000</v>
      </c>
      <c r="O6" s="356"/>
      <c r="P6" s="5">
        <f t="shared" si="2"/>
        <v>-1000</v>
      </c>
      <c r="Q6" s="357"/>
      <c r="R6" s="5" t="e">
        <f t="shared" si="3"/>
        <v>#DIV/0!</v>
      </c>
      <c r="S6" s="7" t="e">
        <f t="shared" si="4"/>
        <v>#DIV/0!</v>
      </c>
    </row>
    <row r="7" spans="1:26" ht="20.100000000000001" customHeight="1" thickBot="1" x14ac:dyDescent="0.25">
      <c r="A7" s="67"/>
      <c r="B7" s="67"/>
      <c r="C7" s="67"/>
      <c r="D7" s="68"/>
      <c r="E7" s="68"/>
      <c r="F7" s="68"/>
      <c r="G7" s="69"/>
      <c r="I7" s="355"/>
      <c r="J7" s="50">
        <v>5</v>
      </c>
      <c r="K7" s="63"/>
      <c r="L7" s="356"/>
      <c r="M7" s="5">
        <f t="shared" si="0"/>
        <v>-1000</v>
      </c>
      <c r="N7" s="5">
        <f t="shared" si="1"/>
        <v>-1000</v>
      </c>
      <c r="O7" s="356"/>
      <c r="P7" s="5">
        <f t="shared" si="2"/>
        <v>-1000</v>
      </c>
      <c r="Q7" s="357"/>
      <c r="R7" s="5" t="e">
        <f t="shared" si="3"/>
        <v>#DIV/0!</v>
      </c>
      <c r="S7" s="7" t="e">
        <f t="shared" si="4"/>
        <v>#DIV/0!</v>
      </c>
    </row>
    <row r="8" spans="1:26" ht="16.5" customHeight="1" x14ac:dyDescent="0.2">
      <c r="A8" s="26" t="s">
        <v>11</v>
      </c>
      <c r="B8" s="27"/>
      <c r="C8" s="16" t="s">
        <v>34</v>
      </c>
      <c r="D8" s="12" t="s">
        <v>35</v>
      </c>
      <c r="E8" s="866" t="s">
        <v>33</v>
      </c>
      <c r="F8" s="867"/>
      <c r="G8" s="862" t="s">
        <v>15</v>
      </c>
      <c r="I8" s="355"/>
      <c r="J8" s="50">
        <v>15</v>
      </c>
      <c r="K8" s="63"/>
      <c r="L8" s="356"/>
      <c r="M8" s="5">
        <f t="shared" si="0"/>
        <v>-1000</v>
      </c>
      <c r="N8" s="5">
        <f t="shared" si="1"/>
        <v>-1000</v>
      </c>
      <c r="O8" s="356"/>
      <c r="P8" s="5">
        <f t="shared" si="2"/>
        <v>-1000</v>
      </c>
      <c r="Q8" s="357"/>
      <c r="R8" s="5" t="e">
        <f t="shared" si="3"/>
        <v>#DIV/0!</v>
      </c>
      <c r="S8" s="7" t="e">
        <f t="shared" si="4"/>
        <v>#DIV/0!</v>
      </c>
      <c r="U8" s="116"/>
      <c r="V8" s="116"/>
      <c r="W8" s="204"/>
      <c r="X8" s="13"/>
      <c r="Y8" s="13"/>
      <c r="Z8" s="13"/>
    </row>
    <row r="9" spans="1:26" ht="18" customHeight="1" x14ac:dyDescent="0.2">
      <c r="A9" s="28"/>
      <c r="B9" s="29"/>
      <c r="C9" s="17" t="s">
        <v>8</v>
      </c>
      <c r="D9" s="18" t="s">
        <v>16</v>
      </c>
      <c r="E9" s="18" t="s">
        <v>18</v>
      </c>
      <c r="F9" s="18" t="s">
        <v>17</v>
      </c>
      <c r="G9" s="863"/>
      <c r="I9" s="355"/>
      <c r="J9" s="50">
        <v>45</v>
      </c>
      <c r="K9" s="63"/>
      <c r="L9" s="64"/>
      <c r="M9" s="5">
        <f t="shared" si="0"/>
        <v>-1000</v>
      </c>
      <c r="N9" s="5">
        <f t="shared" si="1"/>
        <v>-1000</v>
      </c>
      <c r="O9" s="356"/>
      <c r="P9" s="5">
        <f t="shared" si="2"/>
        <v>-1000</v>
      </c>
      <c r="Q9" s="357"/>
      <c r="R9" s="5" t="e">
        <f t="shared" si="3"/>
        <v>#DIV/0!</v>
      </c>
      <c r="S9" s="7" t="e">
        <f t="shared" si="4"/>
        <v>#DIV/0!</v>
      </c>
    </row>
    <row r="10" spans="1:26" ht="18.75" customHeight="1" thickBot="1" x14ac:dyDescent="0.25">
      <c r="A10" s="24" t="s">
        <v>3</v>
      </c>
      <c r="B10" s="25"/>
      <c r="C10" s="14" t="s">
        <v>0</v>
      </c>
      <c r="D10" s="3" t="s">
        <v>0</v>
      </c>
      <c r="E10" s="3" t="s">
        <v>0</v>
      </c>
      <c r="F10" s="3" t="s">
        <v>1</v>
      </c>
      <c r="G10" s="4" t="s">
        <v>1</v>
      </c>
      <c r="I10" s="358" t="s">
        <v>93</v>
      </c>
      <c r="J10" s="50">
        <v>120</v>
      </c>
      <c r="K10" s="63"/>
      <c r="L10" s="356"/>
      <c r="M10" s="5">
        <f t="shared" si="0"/>
        <v>-1000</v>
      </c>
      <c r="N10" s="5">
        <f t="shared" si="1"/>
        <v>-1000</v>
      </c>
      <c r="O10" s="359"/>
      <c r="P10" s="5">
        <f t="shared" si="2"/>
        <v>-1000</v>
      </c>
      <c r="Q10" s="357"/>
      <c r="R10" s="5" t="e">
        <f t="shared" si="3"/>
        <v>#DIV/0!</v>
      </c>
      <c r="S10" s="7" t="e">
        <f t="shared" si="4"/>
        <v>#DIV/0!</v>
      </c>
    </row>
    <row r="11" spans="1:26" ht="18.75" customHeight="1" x14ac:dyDescent="0.2">
      <c r="A11" s="858" t="s">
        <v>12</v>
      </c>
      <c r="B11" s="87">
        <v>50</v>
      </c>
      <c r="C11" s="88" t="s">
        <v>21</v>
      </c>
      <c r="D11" s="84">
        <v>0</v>
      </c>
      <c r="E11" s="85">
        <f>D11</f>
        <v>0</v>
      </c>
      <c r="F11" s="2">
        <f t="shared" ref="F11:F25" si="5">E11/$E$26*100</f>
        <v>0</v>
      </c>
      <c r="G11" s="97">
        <v>100</v>
      </c>
      <c r="I11" s="358" t="s">
        <v>94</v>
      </c>
      <c r="J11" s="50">
        <v>360</v>
      </c>
      <c r="K11" s="65"/>
      <c r="L11" s="356"/>
      <c r="M11" s="5">
        <f>(L11-1)*1000</f>
        <v>-1000</v>
      </c>
      <c r="N11" s="5">
        <f>M11+$F$33</f>
        <v>-1000</v>
      </c>
      <c r="O11" s="359"/>
      <c r="P11" s="5">
        <f>N11+O11</f>
        <v>-1000</v>
      </c>
      <c r="Q11" s="357"/>
      <c r="R11" s="5" t="e">
        <f>$F$36*P11</f>
        <v>#DIV/0!</v>
      </c>
      <c r="S11" s="7" t="e">
        <f>$G$24/100*R11</f>
        <v>#DIV/0!</v>
      </c>
    </row>
    <row r="12" spans="1:26" ht="19.5" customHeight="1" thickBot="1" x14ac:dyDescent="0.25">
      <c r="A12" s="859"/>
      <c r="B12" s="86">
        <v>40</v>
      </c>
      <c r="C12" s="58" t="s">
        <v>21</v>
      </c>
      <c r="D12" s="60">
        <v>47.6</v>
      </c>
      <c r="E12" s="34">
        <f>D12</f>
        <v>47.6</v>
      </c>
      <c r="F12" s="2">
        <f t="shared" si="5"/>
        <v>10.832954028220298</v>
      </c>
      <c r="G12" s="37">
        <f t="shared" ref="G12:G24" si="6">G11-F12</f>
        <v>89.1670459717797</v>
      </c>
      <c r="I12" s="360" t="s">
        <v>95</v>
      </c>
      <c r="J12" s="51">
        <v>1440</v>
      </c>
      <c r="K12" s="66"/>
      <c r="L12" s="361"/>
      <c r="M12" s="8">
        <f>(L12-1)*1000</f>
        <v>-1000</v>
      </c>
      <c r="N12" s="8">
        <f>M12+$F$33</f>
        <v>-1000</v>
      </c>
      <c r="O12" s="362"/>
      <c r="P12" s="8">
        <f>N12+O12</f>
        <v>-1000</v>
      </c>
      <c r="Q12" s="363"/>
      <c r="R12" s="8" t="e">
        <f>$F$36*P12</f>
        <v>#DIV/0!</v>
      </c>
      <c r="S12" s="9" t="e">
        <f>$G$24/100*R12</f>
        <v>#DIV/0!</v>
      </c>
    </row>
    <row r="13" spans="1:26" ht="19.5" customHeight="1" x14ac:dyDescent="0.2">
      <c r="A13" s="859"/>
      <c r="B13" s="21">
        <v>30</v>
      </c>
      <c r="C13" s="56" t="s">
        <v>21</v>
      </c>
      <c r="D13" s="61">
        <v>0</v>
      </c>
      <c r="E13" s="35">
        <f>D13</f>
        <v>0</v>
      </c>
      <c r="F13" s="2">
        <f t="shared" si="5"/>
        <v>0</v>
      </c>
      <c r="G13" s="6">
        <f t="shared" si="6"/>
        <v>89.1670459717797</v>
      </c>
    </row>
    <row r="14" spans="1:26" ht="19.5" customHeight="1" thickBot="1" x14ac:dyDescent="0.25">
      <c r="A14" s="859"/>
      <c r="B14" s="21">
        <v>20</v>
      </c>
      <c r="C14" s="56" t="s">
        <v>21</v>
      </c>
      <c r="D14" s="61">
        <v>28</v>
      </c>
      <c r="E14" s="35">
        <f>D14</f>
        <v>28</v>
      </c>
      <c r="F14" s="2">
        <f t="shared" si="5"/>
        <v>6.3723258989531173</v>
      </c>
      <c r="G14" s="6">
        <f t="shared" si="6"/>
        <v>82.794720072826578</v>
      </c>
    </row>
    <row r="15" spans="1:26" ht="19.5" customHeight="1" thickBot="1" x14ac:dyDescent="0.25">
      <c r="A15" s="868"/>
      <c r="B15" s="23">
        <v>10</v>
      </c>
      <c r="C15" s="59" t="s">
        <v>21</v>
      </c>
      <c r="D15" s="62">
        <v>45.5</v>
      </c>
      <c r="E15" s="34">
        <f>D15</f>
        <v>45.5</v>
      </c>
      <c r="F15" s="36">
        <f t="shared" si="5"/>
        <v>10.355029585798814</v>
      </c>
      <c r="G15" s="38">
        <f t="shared" si="6"/>
        <v>72.439690487027761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U15" s="116"/>
      <c r="V15" s="291" t="s">
        <v>122</v>
      </c>
      <c r="W15" s="273"/>
      <c r="X15" s="13"/>
      <c r="Y15" s="13"/>
      <c r="Z15" s="13"/>
    </row>
    <row r="16" spans="1:26" ht="19.5" customHeight="1" x14ac:dyDescent="0.2">
      <c r="A16" s="858" t="s">
        <v>13</v>
      </c>
      <c r="B16" s="19">
        <v>6.3</v>
      </c>
      <c r="C16" s="55">
        <v>630.4</v>
      </c>
      <c r="D16" s="40">
        <v>647.29999999999995</v>
      </c>
      <c r="E16" s="33">
        <f>D16-C16</f>
        <v>16.899999999999977</v>
      </c>
      <c r="F16" s="2">
        <f t="shared" si="5"/>
        <v>3.84615384615384</v>
      </c>
      <c r="G16" s="37">
        <f t="shared" si="6"/>
        <v>68.593536640873921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U16" s="116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859"/>
      <c r="B17" s="20">
        <v>4</v>
      </c>
      <c r="C17" s="56">
        <v>519.29999999999995</v>
      </c>
      <c r="D17" s="41">
        <v>564.1</v>
      </c>
      <c r="E17" s="31">
        <f t="shared" ref="E17:E24" si="7">D17-C17</f>
        <v>44.800000000000068</v>
      </c>
      <c r="F17" s="2">
        <f t="shared" si="5"/>
        <v>10.195721438325002</v>
      </c>
      <c r="G17" s="6">
        <f t="shared" si="6"/>
        <v>58.397815202548919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U17" s="116"/>
      <c r="V17" s="293" t="s">
        <v>124</v>
      </c>
      <c r="W17" s="283"/>
      <c r="X17" s="116"/>
      <c r="Y17" s="116"/>
      <c r="Z17" s="116"/>
    </row>
    <row r="18" spans="1:26" ht="21.95" customHeight="1" x14ac:dyDescent="0.2">
      <c r="A18" s="859"/>
      <c r="B18" s="20">
        <v>2</v>
      </c>
      <c r="C18" s="56">
        <v>506.2</v>
      </c>
      <c r="D18" s="41">
        <v>577.20000000000005</v>
      </c>
      <c r="E18" s="30">
        <f t="shared" si="7"/>
        <v>71.000000000000057</v>
      </c>
      <c r="F18" s="2">
        <f t="shared" si="5"/>
        <v>16.158397815202559</v>
      </c>
      <c r="G18" s="6">
        <f t="shared" si="6"/>
        <v>42.239417387346364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U18" s="116"/>
      <c r="V18" s="116"/>
      <c r="W18" s="116"/>
      <c r="X18" s="116"/>
      <c r="Y18" s="116"/>
      <c r="Z18" s="116"/>
    </row>
    <row r="19" spans="1:26" ht="21.95" customHeight="1" x14ac:dyDescent="0.2">
      <c r="A19" s="859"/>
      <c r="B19" s="20">
        <v>1</v>
      </c>
      <c r="C19" s="56">
        <v>383.8</v>
      </c>
      <c r="D19" s="41">
        <v>428.5</v>
      </c>
      <c r="E19" s="31">
        <f t="shared" si="7"/>
        <v>44.699999999999989</v>
      </c>
      <c r="F19" s="2">
        <f t="shared" si="5"/>
        <v>10.172963131543009</v>
      </c>
      <c r="G19" s="6">
        <f t="shared" si="6"/>
        <v>32.066454255803357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U19" s="116"/>
      <c r="V19" s="264" t="s">
        <v>109</v>
      </c>
      <c r="W19" s="266">
        <v>11</v>
      </c>
      <c r="X19" s="116"/>
      <c r="Y19" s="116"/>
      <c r="Z19" s="116"/>
    </row>
    <row r="20" spans="1:26" ht="21.95" customHeight="1" x14ac:dyDescent="0.2">
      <c r="A20" s="859"/>
      <c r="B20" s="21">
        <v>0.63</v>
      </c>
      <c r="C20" s="56">
        <v>376.2</v>
      </c>
      <c r="D20" s="41">
        <v>413.7</v>
      </c>
      <c r="E20" s="30">
        <f t="shared" si="7"/>
        <v>37.5</v>
      </c>
      <c r="F20" s="2">
        <f t="shared" si="5"/>
        <v>8.5343650432407809</v>
      </c>
      <c r="G20" s="6">
        <f t="shared" si="6"/>
        <v>23.532089212562575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U20" s="116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859"/>
      <c r="B21" s="22">
        <v>0.4</v>
      </c>
      <c r="C21" s="56">
        <v>330.8</v>
      </c>
      <c r="D21" s="41">
        <v>352.7</v>
      </c>
      <c r="E21" s="31">
        <f t="shared" si="7"/>
        <v>21.899999999999977</v>
      </c>
      <c r="F21" s="2">
        <f t="shared" si="5"/>
        <v>4.9840691852526113</v>
      </c>
      <c r="G21" s="6">
        <f t="shared" si="6"/>
        <v>18.548020027309963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U21" s="116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859"/>
      <c r="B22" s="22">
        <v>0.2</v>
      </c>
      <c r="C22" s="56">
        <v>326.10000000000002</v>
      </c>
      <c r="D22" s="41">
        <v>351.7</v>
      </c>
      <c r="E22" s="30">
        <f t="shared" si="7"/>
        <v>25.599999999999966</v>
      </c>
      <c r="F22" s="2">
        <f t="shared" si="5"/>
        <v>5.8261265361856989</v>
      </c>
      <c r="G22" s="6">
        <f t="shared" si="6"/>
        <v>12.721893491124264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U22" s="284" t="s">
        <v>119</v>
      </c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859"/>
      <c r="B23" s="22">
        <v>0.1</v>
      </c>
      <c r="C23" s="56">
        <v>304.39999999999998</v>
      </c>
      <c r="D23" s="41">
        <v>322.7</v>
      </c>
      <c r="E23" s="31">
        <f t="shared" si="7"/>
        <v>18.300000000000011</v>
      </c>
      <c r="F23" s="2">
        <f t="shared" si="5"/>
        <v>4.1647701411015037</v>
      </c>
      <c r="G23" s="52">
        <f t="shared" si="6"/>
        <v>8.5571233500227599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U23" s="116"/>
      <c r="V23" s="116"/>
      <c r="W23" s="116"/>
      <c r="X23" s="116"/>
      <c r="Y23" s="116"/>
      <c r="Z23" s="116"/>
    </row>
    <row r="24" spans="1:26" ht="21.95" customHeight="1" thickBot="1" x14ac:dyDescent="0.3">
      <c r="A24" s="860"/>
      <c r="B24" s="82">
        <v>6.3E-2</v>
      </c>
      <c r="C24" s="56">
        <v>313.7</v>
      </c>
      <c r="D24" s="41">
        <v>318.3</v>
      </c>
      <c r="E24" s="30">
        <f t="shared" si="7"/>
        <v>4.6000000000000227</v>
      </c>
      <c r="F24" s="53">
        <f t="shared" si="5"/>
        <v>1.0468821119708742</v>
      </c>
      <c r="G24" s="54">
        <f t="shared" si="6"/>
        <v>7.5102412380518855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U24" s="116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349"/>
      <c r="B25" s="23" t="s">
        <v>14</v>
      </c>
      <c r="C25" s="57">
        <v>367.5</v>
      </c>
      <c r="D25" s="42">
        <v>368.6</v>
      </c>
      <c r="E25" s="89">
        <f>D25-C25+(G6-C26)</f>
        <v>33</v>
      </c>
      <c r="F25" s="2">
        <f t="shared" si="5"/>
        <v>7.5102412380518873</v>
      </c>
      <c r="G25" s="37">
        <f>G24-F25</f>
        <v>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U25" s="116"/>
      <c r="V25" s="265"/>
      <c r="W25" s="268"/>
      <c r="X25" s="116"/>
      <c r="Y25" s="116"/>
      <c r="Z25" s="116"/>
    </row>
    <row r="26" spans="1:26" ht="21.95" customHeight="1" x14ac:dyDescent="0.2">
      <c r="A26" s="864" t="s">
        <v>40</v>
      </c>
      <c r="B26" s="865"/>
      <c r="C26" s="101">
        <v>409.3</v>
      </c>
      <c r="D26" s="106" t="s">
        <v>19</v>
      </c>
      <c r="E26" s="32">
        <f>SUM(E12:E25)</f>
        <v>439.40000000000009</v>
      </c>
      <c r="F26" s="107">
        <f>SUM(F12:F25)</f>
        <v>100</v>
      </c>
      <c r="G26" s="104" t="s">
        <v>20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U26" s="116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869" t="s">
        <v>43</v>
      </c>
      <c r="B27" s="870"/>
      <c r="C27" s="100">
        <f>(G3-G6)/G6</f>
        <v>-1</v>
      </c>
      <c r="D27" s="103" t="s">
        <v>22</v>
      </c>
      <c r="E27" s="102">
        <f>G6-E26</f>
        <v>1.7999999999998977</v>
      </c>
      <c r="F27" s="108">
        <f>IF((E27/G6*100)&gt;1,"Fehler zu groß",(E27/G6*100))</f>
        <v>0.40797824116044829</v>
      </c>
      <c r="G27" s="105" t="s">
        <v>20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U27" s="116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6.5" customHeight="1" thickBot="1" x14ac:dyDescent="0.25">
      <c r="A28" s="13"/>
      <c r="B28" s="15"/>
      <c r="C28" s="15"/>
      <c r="D28" s="11"/>
      <c r="E28" s="11"/>
      <c r="F28" s="10"/>
      <c r="G28" s="10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U28" s="116"/>
      <c r="V28" s="116"/>
      <c r="W28" s="116"/>
      <c r="X28" s="116"/>
      <c r="Y28" s="116"/>
      <c r="Z28" s="116"/>
    </row>
    <row r="29" spans="1:26" ht="18" customHeight="1" thickBot="1" x14ac:dyDescent="0.3">
      <c r="A29" s="861" t="s">
        <v>37</v>
      </c>
      <c r="B29" s="861"/>
      <c r="C29" s="861"/>
      <c r="D29" s="861"/>
      <c r="E29" s="861"/>
      <c r="F29" s="861"/>
      <c r="G29" s="861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U29" s="116"/>
      <c r="V29" s="277" t="s">
        <v>120</v>
      </c>
      <c r="W29" s="287">
        <v>4.2999999999999999E-4</v>
      </c>
      <c r="X29" s="286" t="s">
        <v>113</v>
      </c>
      <c r="Y29" s="288"/>
      <c r="Z29" s="286" t="s">
        <v>114</v>
      </c>
    </row>
    <row r="30" spans="1:26" ht="18" customHeight="1" x14ac:dyDescent="0.2">
      <c r="A30" s="83" t="s">
        <v>38</v>
      </c>
      <c r="B30" s="83"/>
      <c r="C30" s="83"/>
      <c r="D30" s="83"/>
      <c r="E30" s="83"/>
      <c r="F30" s="83"/>
      <c r="G30" s="83"/>
      <c r="I30" s="13"/>
      <c r="J30" s="81"/>
      <c r="K30" s="81"/>
      <c r="L30" s="81"/>
      <c r="M30" s="81"/>
      <c r="N30" s="13"/>
      <c r="O30" s="13"/>
      <c r="P30" s="13"/>
      <c r="Q30" s="13"/>
      <c r="R30" s="13"/>
      <c r="S30" s="13"/>
      <c r="U30" s="116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109" t="s">
        <v>44</v>
      </c>
      <c r="B31" s="110"/>
      <c r="C31" s="110"/>
      <c r="D31" s="110"/>
      <c r="E31" s="110"/>
      <c r="F31" s="364">
        <f>30*(1+C27)*100/G24</f>
        <v>0</v>
      </c>
      <c r="G31" s="111" t="s">
        <v>5</v>
      </c>
      <c r="I31" s="78"/>
      <c r="J31" s="78"/>
      <c r="K31" s="78"/>
      <c r="L31" s="78"/>
      <c r="M31" s="13"/>
      <c r="N31" s="13"/>
      <c r="O31" s="13"/>
      <c r="P31" s="13"/>
      <c r="Q31" s="13"/>
      <c r="R31" s="13"/>
      <c r="S31" s="13"/>
      <c r="U31" s="116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2">
      <c r="A32" s="348" t="s">
        <v>96</v>
      </c>
      <c r="B32" s="48"/>
      <c r="C32" s="48"/>
      <c r="D32" s="48"/>
      <c r="E32" s="72"/>
      <c r="F32" s="365"/>
      <c r="G32" s="366" t="s">
        <v>97</v>
      </c>
      <c r="I32" s="78"/>
      <c r="J32" s="78"/>
      <c r="K32" s="79"/>
      <c r="L32" s="79"/>
      <c r="M32" s="13"/>
      <c r="N32" s="13"/>
      <c r="O32" s="13"/>
      <c r="P32" s="13"/>
      <c r="Q32" s="13"/>
      <c r="R32" s="13"/>
      <c r="S32" s="13"/>
      <c r="U32" s="116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348" t="s">
        <v>98</v>
      </c>
      <c r="B33" s="48"/>
      <c r="C33" s="48"/>
      <c r="D33" s="48"/>
      <c r="E33" s="72"/>
      <c r="F33" s="367"/>
      <c r="G33" s="91" t="s">
        <v>5</v>
      </c>
      <c r="I33" s="112"/>
      <c r="J33" s="79"/>
      <c r="K33" s="79"/>
      <c r="L33" s="80"/>
      <c r="M33" s="13"/>
      <c r="N33" s="13"/>
      <c r="O33" s="13"/>
      <c r="P33" s="13"/>
      <c r="Q33" s="13"/>
      <c r="R33" s="13"/>
      <c r="S33" s="13"/>
      <c r="U33" s="116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348" t="s">
        <v>9</v>
      </c>
      <c r="B34" s="48"/>
      <c r="C34" s="48"/>
      <c r="D34" s="48"/>
      <c r="E34" s="72"/>
      <c r="F34" s="367"/>
      <c r="G34" s="91" t="s">
        <v>6</v>
      </c>
      <c r="I34" s="112"/>
      <c r="J34" s="79"/>
      <c r="K34" s="79"/>
      <c r="L34" s="80"/>
      <c r="M34" s="13"/>
      <c r="N34" s="13"/>
      <c r="O34" s="13"/>
      <c r="P34" s="13"/>
      <c r="Q34" s="13"/>
      <c r="R34" s="13"/>
      <c r="S34" s="13"/>
      <c r="U34" s="116"/>
      <c r="V34" s="116"/>
      <c r="W34" s="116"/>
      <c r="X34" s="116"/>
      <c r="Y34" s="116"/>
      <c r="Z34" s="116"/>
    </row>
    <row r="35" spans="1:26" ht="21.95" customHeight="1" x14ac:dyDescent="0.3">
      <c r="A35" s="348" t="s">
        <v>36</v>
      </c>
      <c r="B35" s="48"/>
      <c r="C35" s="48"/>
      <c r="D35" s="48"/>
      <c r="E35" s="72"/>
      <c r="F35" s="367"/>
      <c r="G35" s="47" t="s">
        <v>7</v>
      </c>
      <c r="I35" s="112"/>
      <c r="J35" s="79"/>
      <c r="K35" s="79"/>
      <c r="L35" s="80"/>
      <c r="M35" s="13"/>
      <c r="N35" s="13"/>
      <c r="O35" s="13"/>
      <c r="P35" s="13"/>
      <c r="Q35" s="13"/>
      <c r="R35" s="13"/>
      <c r="S35" s="13"/>
      <c r="U35" s="116"/>
      <c r="V35" s="265" t="s">
        <v>121</v>
      </c>
      <c r="W35" s="116" t="s">
        <v>332</v>
      </c>
      <c r="X35" s="116"/>
      <c r="Y35" s="116"/>
      <c r="Z35" s="116"/>
    </row>
    <row r="36" spans="1:26" ht="16.5" x14ac:dyDescent="0.3">
      <c r="A36" s="348" t="s">
        <v>10</v>
      </c>
      <c r="B36" s="368"/>
      <c r="C36" s="368"/>
      <c r="D36" s="369"/>
      <c r="E36" s="72"/>
      <c r="F36" s="370" t="e">
        <f>100/F35*F34/(F34-1)</f>
        <v>#DIV/0!</v>
      </c>
      <c r="G36" s="49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U36" s="116"/>
      <c r="V36" s="267">
        <f>(W24+W29)/2</f>
        <v>3.1596059999999999E-4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D11:D25 C3:C6 D5:D6 G3:G6 F5" name="Bereich1"/>
    <protectedRange password="C4F2" sqref="K4:L12" name="Bereich1_1"/>
    <protectedRange password="C4F2" sqref="O4:O12" name="Bereich1_2"/>
    <protectedRange password="C4F2" sqref="Q4:Q12" name="Bereich1_3"/>
    <protectedRange password="C4F2" sqref="F32:F35" name="Bereich1_4"/>
  </protectedRanges>
  <mergeCells count="18">
    <mergeCell ref="A11:A15"/>
    <mergeCell ref="A16:A24"/>
    <mergeCell ref="A26:B26"/>
    <mergeCell ref="A27:B27"/>
    <mergeCell ref="A29:G29"/>
    <mergeCell ref="O1:O2"/>
    <mergeCell ref="P1:P2"/>
    <mergeCell ref="Q1:Q2"/>
    <mergeCell ref="R1:R2"/>
    <mergeCell ref="S1:S2"/>
    <mergeCell ref="L1:L2"/>
    <mergeCell ref="M1:M2"/>
    <mergeCell ref="N1:N2"/>
    <mergeCell ref="E8:F8"/>
    <mergeCell ref="G8:G9"/>
    <mergeCell ref="A1:G1"/>
    <mergeCell ref="I1:J2"/>
    <mergeCell ref="K1:K2"/>
  </mergeCells>
  <pageMargins left="0.7" right="0.7" top="0.75" bottom="0.75" header="0.3" footer="0.3"/>
  <pageSetup paperSize="9" scale="65" orientation="landscape" r:id="rId1"/>
  <headerFooter alignWithMargins="0"/>
  <drawing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Ruler="0" showWhiteSpace="0" topLeftCell="C10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10.14062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136</v>
      </c>
      <c r="D3" s="385" t="s">
        <v>25</v>
      </c>
      <c r="E3" s="387">
        <v>40022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372">
        <v>22</v>
      </c>
      <c r="L4" s="409">
        <v>1.01</v>
      </c>
      <c r="M4" s="407">
        <f t="shared" ref="M4:M10" si="0">(L4-1)*1000</f>
        <v>10.000000000000009</v>
      </c>
      <c r="N4" s="407">
        <f>M4+$G$33</f>
        <v>11.499999999999954</v>
      </c>
      <c r="O4" s="410">
        <v>0.4</v>
      </c>
      <c r="P4" s="411">
        <f t="shared" ref="P4:P10" si="1">N4+O4</f>
        <v>11.899999999999954</v>
      </c>
      <c r="Q4" s="412">
        <f>((18.35*V4/($F$34-W4))*Z4)^0.5</f>
        <v>7.5144164916538359E-2</v>
      </c>
      <c r="R4" s="407">
        <f t="shared" ref="R4:R10" si="2">$F$36*P4</f>
        <v>46.164543990630776</v>
      </c>
      <c r="S4" s="413">
        <f t="shared" ref="S4:S10" si="3">$G$24/100*R4</f>
        <v>30.692274237851048</v>
      </c>
      <c r="T4" s="831">
        <f t="shared" ref="T4:T11" si="4">S4-S5</f>
        <v>2.5791827090634101</v>
      </c>
      <c r="U4" s="414">
        <f>1+0.001*N4</f>
        <v>1.0114999999999998</v>
      </c>
      <c r="V4" s="415">
        <f t="shared" ref="V4:V12" si="5">0.00178/(1+0.0337*K5+0.00022*K5^2)</f>
        <v>9.6326601294456345E-4</v>
      </c>
      <c r="W4" s="414">
        <f t="shared" ref="W4:W12" si="6">1/(1+((2.31*K5-2)^2-182)*0.00001)</f>
        <v>0.9784602504104436</v>
      </c>
      <c r="X4" s="416">
        <f>4142.8*(1.03-U4)/10</f>
        <v>7.6641800000000755</v>
      </c>
      <c r="Y4" s="417">
        <f t="shared" ref="Y4:Y12" si="7">X4+$AB$5+0.5*($AC$5-$AD$5/$AE$5)</f>
        <v>16.019397665612352</v>
      </c>
      <c r="Z4" s="418">
        <f t="shared" ref="Z4:Z12" si="8">Y4/I4</f>
        <v>0.53397992218707846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372">
        <v>22</v>
      </c>
      <c r="L5" s="409">
        <v>1.0089999999999999</v>
      </c>
      <c r="M5" s="407">
        <f t="shared" si="0"/>
        <v>8.999999999999897</v>
      </c>
      <c r="N5" s="407">
        <f t="shared" ref="N5:N12" si="9">M5+$G$33</f>
        <v>10.499999999999844</v>
      </c>
      <c r="O5" s="410">
        <v>0.4</v>
      </c>
      <c r="P5" s="411">
        <f t="shared" si="1"/>
        <v>10.899999999999844</v>
      </c>
      <c r="Q5" s="412">
        <f t="shared" ref="Q5:Q12" si="10">((18.35*V5/($F$34-W5))*Z5)^0.5</f>
        <v>5.3817628392684176E-2</v>
      </c>
      <c r="R5" s="407">
        <f t="shared" si="2"/>
        <v>42.28517054603951</v>
      </c>
      <c r="S5" s="413">
        <f t="shared" si="3"/>
        <v>28.113091528787638</v>
      </c>
      <c r="T5" s="831">
        <f t="shared" si="4"/>
        <v>7.7375481271890898</v>
      </c>
      <c r="U5" s="414">
        <f t="shared" ref="U5:U12" si="11">1+0.001*N5</f>
        <v>1.0105</v>
      </c>
      <c r="V5" s="415">
        <f t="shared" si="5"/>
        <v>9.6326601294456345E-4</v>
      </c>
      <c r="W5" s="414">
        <f t="shared" si="6"/>
        <v>0.9784602504104436</v>
      </c>
      <c r="X5" s="416">
        <f t="shared" ref="X5:X12" si="12">4142.8*(1.03-U5)/10</f>
        <v>8.0784600000000317</v>
      </c>
      <c r="Y5" s="417">
        <f t="shared" si="7"/>
        <v>16.433677665612308</v>
      </c>
      <c r="Z5" s="418">
        <f t="shared" si="8"/>
        <v>0.27389462776020512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276.7</v>
      </c>
      <c r="I6" s="406">
        <f t="shared" ref="I6:I12" si="13">J6*60</f>
        <v>120</v>
      </c>
      <c r="J6" s="426">
        <v>2</v>
      </c>
      <c r="K6" s="372">
        <v>22</v>
      </c>
      <c r="L6" s="409">
        <v>1.006</v>
      </c>
      <c r="M6" s="407">
        <f t="shared" si="0"/>
        <v>6.0000000000000053</v>
      </c>
      <c r="N6" s="407">
        <f t="shared" si="9"/>
        <v>7.4999999999999512</v>
      </c>
      <c r="O6" s="410">
        <v>0.4</v>
      </c>
      <c r="P6" s="411">
        <f t="shared" si="1"/>
        <v>7.8999999999999515</v>
      </c>
      <c r="Q6" s="412">
        <f t="shared" si="10"/>
        <v>3.9467583038148818E-2</v>
      </c>
      <c r="R6" s="407">
        <f t="shared" si="2"/>
        <v>30.64705021226742</v>
      </c>
      <c r="S6" s="413">
        <f t="shared" si="3"/>
        <v>20.375543401598549</v>
      </c>
      <c r="T6" s="831">
        <f t="shared" si="4"/>
        <v>1.2895913545314208</v>
      </c>
      <c r="U6" s="414">
        <f t="shared" si="11"/>
        <v>1.0074999999999998</v>
      </c>
      <c r="V6" s="415">
        <f t="shared" si="5"/>
        <v>9.6326601294456345E-4</v>
      </c>
      <c r="W6" s="414">
        <f t="shared" si="6"/>
        <v>0.9784602504104436</v>
      </c>
      <c r="X6" s="416">
        <f t="shared" si="12"/>
        <v>9.3213000000000772</v>
      </c>
      <c r="Y6" s="417">
        <f t="shared" si="7"/>
        <v>17.676517665612351</v>
      </c>
      <c r="Z6" s="418">
        <f t="shared" si="8"/>
        <v>0.14730431388010293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3"/>
        <v>300</v>
      </c>
      <c r="J7" s="426">
        <v>5</v>
      </c>
      <c r="K7" s="372">
        <v>22</v>
      </c>
      <c r="L7" s="409">
        <v>1.0055000000000001</v>
      </c>
      <c r="M7" s="407">
        <f t="shared" si="0"/>
        <v>5.5000000000000604</v>
      </c>
      <c r="N7" s="407">
        <f t="shared" si="9"/>
        <v>7.0000000000000062</v>
      </c>
      <c r="O7" s="410">
        <v>0.4</v>
      </c>
      <c r="P7" s="411">
        <f t="shared" si="1"/>
        <v>7.4000000000000066</v>
      </c>
      <c r="Q7" s="412">
        <f t="shared" si="10"/>
        <v>2.5107319269097102E-2</v>
      </c>
      <c r="R7" s="407">
        <f t="shared" si="2"/>
        <v>28.707363489972213</v>
      </c>
      <c r="S7" s="413">
        <f t="shared" si="3"/>
        <v>19.085952047067128</v>
      </c>
      <c r="T7" s="831">
        <f t="shared" si="4"/>
        <v>6.447956772658241</v>
      </c>
      <c r="U7" s="414">
        <f t="shared" si="11"/>
        <v>1.0070000000000001</v>
      </c>
      <c r="V7" s="415">
        <f t="shared" si="5"/>
        <v>9.6326601294456345E-4</v>
      </c>
      <c r="W7" s="414">
        <f t="shared" si="6"/>
        <v>0.9784602504104436</v>
      </c>
      <c r="X7" s="416">
        <f t="shared" si="12"/>
        <v>9.5284399999999643</v>
      </c>
      <c r="Y7" s="417">
        <f t="shared" si="7"/>
        <v>17.88365766561224</v>
      </c>
      <c r="Z7" s="418">
        <f t="shared" si="8"/>
        <v>5.961219221870747E-2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3"/>
        <v>900</v>
      </c>
      <c r="J8" s="426">
        <v>15</v>
      </c>
      <c r="K8" s="372">
        <v>22</v>
      </c>
      <c r="L8" s="409">
        <v>1.0029999999999999</v>
      </c>
      <c r="M8" s="407">
        <f t="shared" si="0"/>
        <v>2.9999999999998916</v>
      </c>
      <c r="N8" s="407">
        <f t="shared" si="9"/>
        <v>4.4999999999998375</v>
      </c>
      <c r="O8" s="410">
        <v>0.4</v>
      </c>
      <c r="P8" s="411">
        <f t="shared" si="1"/>
        <v>4.8999999999998378</v>
      </c>
      <c r="Q8" s="412">
        <f t="shared" si="10"/>
        <v>1.4909556929879223E-2</v>
      </c>
      <c r="R8" s="407">
        <f t="shared" si="2"/>
        <v>19.00892987849447</v>
      </c>
      <c r="S8" s="413">
        <f t="shared" si="3"/>
        <v>12.637995274408887</v>
      </c>
      <c r="T8" s="831">
        <f t="shared" si="4"/>
        <v>2.5791827090628416</v>
      </c>
      <c r="U8" s="414">
        <f t="shared" si="11"/>
        <v>1.0044999999999997</v>
      </c>
      <c r="V8" s="415">
        <f t="shared" si="5"/>
        <v>9.6326601294456345E-4</v>
      </c>
      <c r="W8" s="414">
        <f t="shared" si="6"/>
        <v>0.9784602504104436</v>
      </c>
      <c r="X8" s="416">
        <f t="shared" si="12"/>
        <v>10.564140000000126</v>
      </c>
      <c r="Y8" s="417">
        <f t="shared" si="7"/>
        <v>18.919357665612402</v>
      </c>
      <c r="Z8" s="418">
        <f t="shared" si="8"/>
        <v>2.1021508517347114E-2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3"/>
        <v>2700</v>
      </c>
      <c r="J9" s="426">
        <v>45</v>
      </c>
      <c r="K9" s="372">
        <v>22</v>
      </c>
      <c r="L9" s="409">
        <v>1.002</v>
      </c>
      <c r="M9" s="407">
        <f t="shared" si="0"/>
        <v>2.0000000000000018</v>
      </c>
      <c r="N9" s="407">
        <f t="shared" si="9"/>
        <v>3.4999999999999476</v>
      </c>
      <c r="O9" s="410">
        <v>0.4</v>
      </c>
      <c r="P9" s="411">
        <f t="shared" si="1"/>
        <v>3.8999999999999475</v>
      </c>
      <c r="Q9" s="412">
        <f t="shared" si="10"/>
        <v>8.7017720838800452E-3</v>
      </c>
      <c r="R9" s="407">
        <f t="shared" si="2"/>
        <v>15.129556433904058</v>
      </c>
      <c r="S9" s="413">
        <f t="shared" si="3"/>
        <v>10.058812565346045</v>
      </c>
      <c r="T9" s="831">
        <f t="shared" si="4"/>
        <v>1.289591354531419</v>
      </c>
      <c r="U9" s="414">
        <f t="shared" si="11"/>
        <v>1.0034999999999998</v>
      </c>
      <c r="V9" s="415">
        <f t="shared" si="5"/>
        <v>9.6326601294456345E-4</v>
      </c>
      <c r="W9" s="414">
        <f t="shared" si="6"/>
        <v>0.9784602504104436</v>
      </c>
      <c r="X9" s="416">
        <f t="shared" si="12"/>
        <v>10.97842000000008</v>
      </c>
      <c r="Y9" s="417">
        <f t="shared" si="7"/>
        <v>19.333637665612358</v>
      </c>
      <c r="Z9" s="418">
        <f t="shared" si="8"/>
        <v>7.1606065428193918E-3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3"/>
        <v>7200</v>
      </c>
      <c r="J10" s="426">
        <v>120</v>
      </c>
      <c r="K10" s="372">
        <v>22</v>
      </c>
      <c r="L10" s="409">
        <v>1.0015000000000001</v>
      </c>
      <c r="M10" s="407">
        <f t="shared" si="0"/>
        <v>1.5000000000000568</v>
      </c>
      <c r="N10" s="407">
        <f t="shared" si="9"/>
        <v>3.0000000000000027</v>
      </c>
      <c r="O10" s="410">
        <v>0.4</v>
      </c>
      <c r="P10" s="411">
        <f t="shared" si="1"/>
        <v>3.4000000000000026</v>
      </c>
      <c r="Q10" s="412">
        <f t="shared" si="10"/>
        <v>5.3571952127071274E-3</v>
      </c>
      <c r="R10" s="407">
        <f t="shared" si="2"/>
        <v>13.189869711608853</v>
      </c>
      <c r="S10" s="413">
        <f t="shared" si="3"/>
        <v>8.7692212108146261</v>
      </c>
      <c r="T10" s="831">
        <f t="shared" si="4"/>
        <v>1.2895913545319937</v>
      </c>
      <c r="U10" s="414">
        <f t="shared" si="11"/>
        <v>1.0030000000000001</v>
      </c>
      <c r="V10" s="415">
        <f t="shared" si="5"/>
        <v>9.6326601294456345E-4</v>
      </c>
      <c r="W10" s="414">
        <f t="shared" si="6"/>
        <v>0.9784602504104436</v>
      </c>
      <c r="X10" s="416">
        <f t="shared" si="12"/>
        <v>11.185559999999963</v>
      </c>
      <c r="Y10" s="417">
        <f t="shared" si="7"/>
        <v>19.540777665612239</v>
      </c>
      <c r="Z10" s="418">
        <f t="shared" si="8"/>
        <v>2.7139968980017001E-3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4">E11/$E$26*100</f>
        <v>0</v>
      </c>
      <c r="G11" s="458">
        <v>100</v>
      </c>
      <c r="I11" s="406">
        <f t="shared" si="13"/>
        <v>21600</v>
      </c>
      <c r="J11" s="426">
        <v>360</v>
      </c>
      <c r="K11" s="849">
        <v>22</v>
      </c>
      <c r="L11" s="409">
        <v>1.0009999999999999</v>
      </c>
      <c r="M11" s="407">
        <f>(L11-1)*1000</f>
        <v>0.99999999999988987</v>
      </c>
      <c r="N11" s="407">
        <f t="shared" si="9"/>
        <v>2.4999999999998357</v>
      </c>
      <c r="O11" s="410">
        <v>0.4</v>
      </c>
      <c r="P11" s="411">
        <f>N11+O11</f>
        <v>2.8999999999998356</v>
      </c>
      <c r="Q11" s="412">
        <f t="shared" si="10"/>
        <v>3.1093282805766823E-3</v>
      </c>
      <c r="R11" s="407">
        <f>$F$36*P11</f>
        <v>11.250182989312787</v>
      </c>
      <c r="S11" s="413">
        <f>$G$24/100*R11</f>
        <v>7.4796298562826324</v>
      </c>
      <c r="T11" s="831">
        <f t="shared" si="4"/>
        <v>1.2895913545314182</v>
      </c>
      <c r="U11" s="414">
        <f t="shared" si="11"/>
        <v>1.0024999999999999</v>
      </c>
      <c r="V11" s="415">
        <f t="shared" si="5"/>
        <v>9.6326601294456345E-4</v>
      </c>
      <c r="W11" s="414">
        <f t="shared" si="6"/>
        <v>0.9784602504104436</v>
      </c>
      <c r="X11" s="416">
        <f t="shared" si="12"/>
        <v>11.392700000000033</v>
      </c>
      <c r="Y11" s="417">
        <f t="shared" si="7"/>
        <v>19.747917665612309</v>
      </c>
      <c r="Z11" s="418">
        <f t="shared" si="8"/>
        <v>9.1425544748205141E-4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4"/>
        <v>0</v>
      </c>
      <c r="G12" s="463">
        <f t="shared" ref="G12:G24" si="15">G11-F12</f>
        <v>100</v>
      </c>
      <c r="I12" s="464">
        <f t="shared" si="13"/>
        <v>86400</v>
      </c>
      <c r="J12" s="465">
        <v>1440</v>
      </c>
      <c r="K12" s="850">
        <v>22</v>
      </c>
      <c r="L12" s="466">
        <v>1.0004999999999999</v>
      </c>
      <c r="M12" s="467">
        <f>(L12-1)*1000</f>
        <v>0.49999999999994493</v>
      </c>
      <c r="N12" s="467">
        <f t="shared" si="9"/>
        <v>1.9999999999998908</v>
      </c>
      <c r="O12" s="851">
        <v>0.4</v>
      </c>
      <c r="P12" s="468">
        <f>N12+O12</f>
        <v>2.3999999999998907</v>
      </c>
      <c r="Q12" s="469">
        <f t="shared" si="10"/>
        <v>2.1393925843353327E-3</v>
      </c>
      <c r="R12" s="467">
        <f>$F$36*P12</f>
        <v>9.3104962670175837</v>
      </c>
      <c r="S12" s="470">
        <f>$G$24/100*R12</f>
        <v>6.1900385017512143</v>
      </c>
      <c r="T12" s="831">
        <f>(S12/S$13)*S$4</f>
        <v>1.3248463699791393</v>
      </c>
      <c r="U12" s="414">
        <f t="shared" si="11"/>
        <v>1.0019999999999998</v>
      </c>
      <c r="V12" s="415">
        <f t="shared" si="5"/>
        <v>1.7799999999999999E-3</v>
      </c>
      <c r="W12" s="414">
        <f t="shared" si="6"/>
        <v>1.0017831740498087</v>
      </c>
      <c r="X12" s="416">
        <f t="shared" si="12"/>
        <v>11.599840000000103</v>
      </c>
      <c r="Y12" s="417">
        <f t="shared" si="7"/>
        <v>19.955057665612379</v>
      </c>
      <c r="Z12" s="418">
        <f t="shared" si="8"/>
        <v>2.3096131557421735E-4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4"/>
        <v>0</v>
      </c>
      <c r="G13" s="475">
        <f t="shared" si="15"/>
        <v>100</v>
      </c>
      <c r="S13" s="372">
        <f>SUM(S4:S12)</f>
        <v>143.40255862390777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4"/>
        <v>0</v>
      </c>
      <c r="G14" s="475">
        <f t="shared" si="15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4"/>
        <v>0</v>
      </c>
      <c r="G15" s="480">
        <f t="shared" si="15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630.79999999999995</v>
      </c>
      <c r="E16" s="485">
        <f>D16-C16</f>
        <v>0.39999999999997726</v>
      </c>
      <c r="F16" s="457">
        <f t="shared" si="14"/>
        <v>0.14571948998177672</v>
      </c>
      <c r="G16" s="463">
        <f t="shared" si="15"/>
        <v>99.854280510018228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519.5</v>
      </c>
      <c r="E17" s="487">
        <f t="shared" ref="E17:E24" si="16">D17-C17</f>
        <v>0.20000000000004547</v>
      </c>
      <c r="F17" s="457">
        <f t="shared" si="14"/>
        <v>7.2859744990909067E-2</v>
      </c>
      <c r="G17" s="475">
        <f t="shared" si="15"/>
        <v>99.78142076502732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506.4</v>
      </c>
      <c r="E18" s="488">
        <f t="shared" si="16"/>
        <v>0.19999999999998863</v>
      </c>
      <c r="F18" s="457">
        <f t="shared" si="14"/>
        <v>7.2859744990888362E-2</v>
      </c>
      <c r="G18" s="475">
        <f t="shared" si="15"/>
        <v>99.708561020036427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385.6</v>
      </c>
      <c r="E19" s="487">
        <f t="shared" si="16"/>
        <v>1.8000000000000114</v>
      </c>
      <c r="F19" s="457">
        <f t="shared" si="14"/>
        <v>0.65573770491803673</v>
      </c>
      <c r="G19" s="475">
        <f t="shared" si="15"/>
        <v>99.052823315118388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379.1</v>
      </c>
      <c r="E20" s="488">
        <f t="shared" si="16"/>
        <v>2.9000000000000341</v>
      </c>
      <c r="F20" s="457">
        <f t="shared" si="14"/>
        <v>1.0564663023679537</v>
      </c>
      <c r="G20" s="475">
        <f t="shared" si="15"/>
        <v>97.996357012750437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337</v>
      </c>
      <c r="E21" s="487">
        <f t="shared" si="16"/>
        <v>6.1999999999999886</v>
      </c>
      <c r="F21" s="457">
        <f t="shared" si="14"/>
        <v>2.2586520947176636</v>
      </c>
      <c r="G21" s="475">
        <f t="shared" si="15"/>
        <v>95.737704918032776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364.8</v>
      </c>
      <c r="E22" s="488">
        <f t="shared" si="16"/>
        <v>38.699999999999989</v>
      </c>
      <c r="F22" s="457">
        <f t="shared" si="14"/>
        <v>14.098360655737697</v>
      </c>
      <c r="G22" s="475">
        <f t="shared" si="15"/>
        <v>81.639344262295083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340.6</v>
      </c>
      <c r="E23" s="487">
        <f t="shared" si="16"/>
        <v>36.200000000000045</v>
      </c>
      <c r="F23" s="457">
        <f t="shared" si="14"/>
        <v>13.187613843351558</v>
      </c>
      <c r="G23" s="490">
        <f t="shared" si="15"/>
        <v>68.451730418943527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319.10000000000002</v>
      </c>
      <c r="E24" s="488">
        <f t="shared" si="16"/>
        <v>5.4000000000000341</v>
      </c>
      <c r="F24" s="492">
        <f t="shared" si="14"/>
        <v>1.9672131147541099</v>
      </c>
      <c r="G24" s="493">
        <f t="shared" si="15"/>
        <v>66.48451730418941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370</v>
      </c>
      <c r="E25" s="496">
        <f>D25-C25+(G6-C26)</f>
        <v>182.5</v>
      </c>
      <c r="F25" s="457">
        <f t="shared" si="14"/>
        <v>66.48451730418941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96.7</v>
      </c>
      <c r="D26" s="498" t="s">
        <v>19</v>
      </c>
      <c r="E26" s="499">
        <f>SUM(E12:E25)</f>
        <v>274.50000000000011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2.1999999999998749</v>
      </c>
      <c r="F27" s="505">
        <f>IF((E27/G6*100)&gt;1,"Fehler zu groß",(E27/G6*100))</f>
        <v>0.79508492952651799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>
        <v>41.4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3.8793734445908363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/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A7" zoomScale="85" zoomScaleNormal="85" workbookViewId="0">
      <selection activeCell="S43" sqref="S43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137</v>
      </c>
      <c r="D3" s="385" t="s">
        <v>25</v>
      </c>
      <c r="E3" s="387">
        <v>40022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372">
        <v>22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>4142.8*(1.03-U4)/10</f>
        <v>426.08698000000015</v>
      </c>
      <c r="Y4" s="417" t="e">
        <f t="shared" ref="Y4:Y12" si="4">X4+$AB$5+0.5*($AC$5-$AD$5/$AE$5)</f>
        <v>#DIV/0!</v>
      </c>
      <c r="Z4" s="418" t="e">
        <f t="shared" ref="Z4:Z12" si="5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6">M5+$G$33</f>
        <v>-998.5</v>
      </c>
      <c r="O5" s="410"/>
      <c r="P5" s="411">
        <f t="shared" si="1"/>
        <v>-998.5</v>
      </c>
      <c r="Q5" s="412" t="e">
        <f t="shared" ref="Q5:Q12" si="7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8">1+0.001*N5</f>
        <v>1.4999999999999458E-3</v>
      </c>
      <c r="V5" s="415">
        <f>0.00178/(1+0.0337*K5+0.00022*K5^2)</f>
        <v>1.7799999999999999E-3</v>
      </c>
      <c r="W5" s="414">
        <f>1/(1+((2.31*K5-2)^2-182)*0.00001)</f>
        <v>1.0017831740498087</v>
      </c>
      <c r="X5" s="416">
        <f t="shared" ref="X5:X12" si="9">4142.8*(1.03-U5)/10</f>
        <v>426.08698000000015</v>
      </c>
      <c r="Y5" s="417" t="e">
        <f t="shared" si="4"/>
        <v>#DIV/0!</v>
      </c>
      <c r="Z5" s="418" t="e">
        <f t="shared" si="5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331.4</v>
      </c>
      <c r="I6" s="406">
        <f t="shared" ref="I6:I12" si="10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6"/>
        <v>-998.5</v>
      </c>
      <c r="O6" s="410"/>
      <c r="P6" s="411">
        <f t="shared" si="1"/>
        <v>-998.5</v>
      </c>
      <c r="Q6" s="412" t="e">
        <f t="shared" si="7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8"/>
        <v>1.4999999999999458E-3</v>
      </c>
      <c r="V6" s="415">
        <f t="shared" ref="V6:V12" si="11">0.00178/(1+0.0337*K6+0.00022*K6^2)</f>
        <v>1.7799999999999999E-3</v>
      </c>
      <c r="W6" s="414">
        <f t="shared" ref="W6:W12" si="12">1/(1+((2.31*K6-2)^2-182)*0.00001)</f>
        <v>1.0017831740498087</v>
      </c>
      <c r="X6" s="416">
        <f t="shared" si="9"/>
        <v>426.08698000000015</v>
      </c>
      <c r="Y6" s="417" t="e">
        <f t="shared" si="4"/>
        <v>#DIV/0!</v>
      </c>
      <c r="Z6" s="418" t="e">
        <f t="shared" si="5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0"/>
        <v>300</v>
      </c>
      <c r="J7" s="426">
        <v>5</v>
      </c>
      <c r="K7" s="408"/>
      <c r="L7" s="409"/>
      <c r="M7" s="407">
        <f t="shared" si="0"/>
        <v>-1000</v>
      </c>
      <c r="N7" s="407">
        <f t="shared" si="6"/>
        <v>-998.5</v>
      </c>
      <c r="O7" s="410"/>
      <c r="P7" s="411">
        <f t="shared" si="1"/>
        <v>-998.5</v>
      </c>
      <c r="Q7" s="412" t="e">
        <f t="shared" si="7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8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9"/>
        <v>426.08698000000015</v>
      </c>
      <c r="Y7" s="417" t="e">
        <f t="shared" si="4"/>
        <v>#DIV/0!</v>
      </c>
      <c r="Z7" s="418" t="e">
        <f t="shared" si="5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0"/>
        <v>900</v>
      </c>
      <c r="J8" s="426">
        <v>15</v>
      </c>
      <c r="K8" s="408"/>
      <c r="L8" s="409"/>
      <c r="M8" s="407">
        <f t="shared" si="0"/>
        <v>-1000</v>
      </c>
      <c r="N8" s="407">
        <f t="shared" si="6"/>
        <v>-998.5</v>
      </c>
      <c r="O8" s="410"/>
      <c r="P8" s="411">
        <f t="shared" si="1"/>
        <v>-998.5</v>
      </c>
      <c r="Q8" s="412" t="e">
        <f t="shared" si="7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8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9"/>
        <v>426.08698000000015</v>
      </c>
      <c r="Y8" s="417" t="e">
        <f t="shared" si="4"/>
        <v>#DIV/0!</v>
      </c>
      <c r="Z8" s="418" t="e">
        <f t="shared" si="5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0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6"/>
        <v>-998.5</v>
      </c>
      <c r="O9" s="410"/>
      <c r="P9" s="411">
        <f t="shared" si="1"/>
        <v>-998.5</v>
      </c>
      <c r="Q9" s="412" t="e">
        <f t="shared" si="7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8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9"/>
        <v>426.08698000000015</v>
      </c>
      <c r="Y9" s="417" t="e">
        <f t="shared" si="4"/>
        <v>#DIV/0!</v>
      </c>
      <c r="Z9" s="418" t="e">
        <f t="shared" si="5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0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6"/>
        <v>-998.5</v>
      </c>
      <c r="O10" s="410"/>
      <c r="P10" s="411">
        <f t="shared" si="1"/>
        <v>-998.5</v>
      </c>
      <c r="Q10" s="412" t="e">
        <f t="shared" si="7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8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9"/>
        <v>426.08698000000015</v>
      </c>
      <c r="Y10" s="417" t="e">
        <f t="shared" si="4"/>
        <v>#DIV/0!</v>
      </c>
      <c r="Z10" s="418" t="e">
        <f t="shared" si="5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0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6"/>
        <v>-998.5</v>
      </c>
      <c r="O11" s="410"/>
      <c r="P11" s="411">
        <f>N11+O11</f>
        <v>-998.5</v>
      </c>
      <c r="Q11" s="412" t="e">
        <f t="shared" si="7"/>
        <v>#DIV/0!</v>
      </c>
      <c r="R11" s="407" t="e">
        <f>$F$36*P11</f>
        <v>#DIV/0!</v>
      </c>
      <c r="S11" s="413" t="e">
        <f>$G$24/100*R11</f>
        <v>#DIV/0!</v>
      </c>
      <c r="U11" s="414">
        <f t="shared" si="8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9"/>
        <v>426.08698000000015</v>
      </c>
      <c r="Y11" s="417" t="e">
        <f t="shared" si="4"/>
        <v>#DIV/0!</v>
      </c>
      <c r="Z11" s="418" t="e">
        <f t="shared" si="5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0"/>
        <v>86400</v>
      </c>
      <c r="J12" s="465">
        <v>1440</v>
      </c>
      <c r="K12" s="852"/>
      <c r="L12" s="466"/>
      <c r="M12" s="467">
        <f>(L12-1)*1000</f>
        <v>-1000</v>
      </c>
      <c r="N12" s="467">
        <f t="shared" si="6"/>
        <v>-998.5</v>
      </c>
      <c r="O12" s="851"/>
      <c r="P12" s="468">
        <f>N12+O12</f>
        <v>-998.5</v>
      </c>
      <c r="Q12" s="469" t="e">
        <f t="shared" si="7"/>
        <v>#DIV/0!</v>
      </c>
      <c r="R12" s="467" t="e">
        <f>$F$36*P12</f>
        <v>#DIV/0!</v>
      </c>
      <c r="S12" s="470" t="e">
        <f>$G$24/100*R12</f>
        <v>#DIV/0!</v>
      </c>
      <c r="U12" s="414">
        <f t="shared" si="8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9"/>
        <v>426.08698000000015</v>
      </c>
      <c r="Y12" s="417" t="e">
        <f t="shared" si="4"/>
        <v>#DIV/0!</v>
      </c>
      <c r="Z12" s="418" t="e">
        <f t="shared" si="5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3"/>
        <v>0</v>
      </c>
      <c r="G15" s="480">
        <f t="shared" si="14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632.6</v>
      </c>
      <c r="E16" s="485">
        <f>D16-C16</f>
        <v>2.2000000000000455</v>
      </c>
      <c r="F16" s="457">
        <f t="shared" si="13"/>
        <v>0.66465256797584438</v>
      </c>
      <c r="G16" s="463">
        <f t="shared" si="14"/>
        <v>99.33534743202415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522.9</v>
      </c>
      <c r="E17" s="487">
        <f t="shared" ref="E17:E24" si="15">D17-C17</f>
        <v>3.6000000000000227</v>
      </c>
      <c r="F17" s="457">
        <f t="shared" si="13"/>
        <v>1.087613293051366</v>
      </c>
      <c r="G17" s="475">
        <f t="shared" si="14"/>
        <v>98.247734138972788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515.1</v>
      </c>
      <c r="E18" s="488">
        <f t="shared" si="15"/>
        <v>8.9000000000000341</v>
      </c>
      <c r="F18" s="457">
        <f t="shared" si="13"/>
        <v>2.6888217522658704</v>
      </c>
      <c r="G18" s="475">
        <f t="shared" si="14"/>
        <v>95.558912386706922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409.5</v>
      </c>
      <c r="E19" s="487">
        <f t="shared" si="15"/>
        <v>25.699999999999989</v>
      </c>
      <c r="F19" s="457">
        <f t="shared" si="13"/>
        <v>7.7643504531721987</v>
      </c>
      <c r="G19" s="475">
        <f t="shared" si="14"/>
        <v>87.794561933534723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435.9</v>
      </c>
      <c r="E20" s="488">
        <f t="shared" si="15"/>
        <v>59.699999999999989</v>
      </c>
      <c r="F20" s="457">
        <f t="shared" si="13"/>
        <v>18.036253776435036</v>
      </c>
      <c r="G20" s="475">
        <f t="shared" si="14"/>
        <v>69.758308157099691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398.5</v>
      </c>
      <c r="E21" s="487">
        <f t="shared" si="15"/>
        <v>67.699999999999989</v>
      </c>
      <c r="F21" s="457">
        <f t="shared" si="13"/>
        <v>20.453172205438054</v>
      </c>
      <c r="G21" s="475">
        <f t="shared" si="14"/>
        <v>49.30513595166164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395.9</v>
      </c>
      <c r="E22" s="488">
        <f t="shared" si="15"/>
        <v>69.799999999999955</v>
      </c>
      <c r="F22" s="457">
        <f t="shared" si="13"/>
        <v>21.087613293051337</v>
      </c>
      <c r="G22" s="475">
        <f t="shared" si="14"/>
        <v>28.217522658610303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316.3</v>
      </c>
      <c r="E23" s="487">
        <f t="shared" si="15"/>
        <v>11.900000000000034</v>
      </c>
      <c r="F23" s="457">
        <f t="shared" si="13"/>
        <v>3.5951661631420029</v>
      </c>
      <c r="G23" s="490">
        <f t="shared" si="14"/>
        <v>24.622356495468299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316.10000000000002</v>
      </c>
      <c r="E24" s="488">
        <f t="shared" si="15"/>
        <v>2.4000000000000341</v>
      </c>
      <c r="F24" s="492">
        <f t="shared" si="13"/>
        <v>0.72507552870091641</v>
      </c>
      <c r="G24" s="493">
        <f t="shared" si="14"/>
        <v>23.897280966767383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367.6</v>
      </c>
      <c r="E25" s="496">
        <f>D25-C25+(G6-C26)</f>
        <v>79.099999999999994</v>
      </c>
      <c r="F25" s="457">
        <f t="shared" si="13"/>
        <v>23.897280966767362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252.4</v>
      </c>
      <c r="D26" s="498" t="s">
        <v>19</v>
      </c>
      <c r="E26" s="499">
        <f>SUM(E12:E25)</f>
        <v>331.00000000000011</v>
      </c>
      <c r="F26" s="500">
        <f>SUM(F12:F25)</f>
        <v>99.999999999999972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0.39999999999986358</v>
      </c>
      <c r="F27" s="505">
        <f>IF((E27/G6*100)&gt;1,"Fehler zu groß",(E27/G6*100))</f>
        <v>0.12070006034998902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/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A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138</v>
      </c>
      <c r="D3" s="385" t="s">
        <v>25</v>
      </c>
      <c r="E3" s="387">
        <v>40022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 t="shared" ref="V4:V11" si="4">0.00178/(1+0.0337*K5+0.00022*K5^2)</f>
        <v>1.7799999999999999E-3</v>
      </c>
      <c r="W4" s="414">
        <f t="shared" ref="W4:W11" si="5">1/(1+((2.31*K5-2)^2-182)*0.00001)</f>
        <v>1.0017831740498087</v>
      </c>
      <c r="X4" s="416">
        <f>4142.8*(1.03-U4)/10</f>
        <v>426.08698000000015</v>
      </c>
      <c r="Y4" s="417" t="e">
        <f t="shared" ref="Y4:Y12" si="6">X4+$AB$5+0.5*($AC$5-$AD$5/$AE$5)</f>
        <v>#DIV/0!</v>
      </c>
      <c r="Z4" s="418" t="e">
        <f t="shared" ref="Z4:Z12" si="7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347</v>
      </c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8">M5+$G$33</f>
        <v>-998.5</v>
      </c>
      <c r="O5" s="410"/>
      <c r="P5" s="411">
        <f t="shared" si="1"/>
        <v>-998.5</v>
      </c>
      <c r="Q5" s="412" t="e">
        <f t="shared" ref="Q5:Q12" si="9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10">1+0.001*N5</f>
        <v>1.4999999999999458E-3</v>
      </c>
      <c r="V5" s="415">
        <f t="shared" si="4"/>
        <v>1.7799999999999999E-3</v>
      </c>
      <c r="W5" s="414">
        <f t="shared" si="5"/>
        <v>1.0017831740498087</v>
      </c>
      <c r="X5" s="416">
        <f t="shared" ref="X5:X12" si="11">4142.8*(1.03-U5)/10</f>
        <v>426.08698000000015</v>
      </c>
      <c r="Y5" s="417" t="e">
        <f t="shared" si="6"/>
        <v>#DIV/0!</v>
      </c>
      <c r="Z5" s="418" t="e">
        <f t="shared" si="7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320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8"/>
        <v>-998.5</v>
      </c>
      <c r="O6" s="410"/>
      <c r="P6" s="411">
        <f t="shared" si="1"/>
        <v>-998.5</v>
      </c>
      <c r="Q6" s="412" t="e">
        <f t="shared" si="9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10"/>
        <v>1.4999999999999458E-3</v>
      </c>
      <c r="V6" s="415">
        <f t="shared" si="4"/>
        <v>1.7799999999999999E-3</v>
      </c>
      <c r="W6" s="414">
        <f t="shared" si="5"/>
        <v>1.0017831740498087</v>
      </c>
      <c r="X6" s="416">
        <f t="shared" si="11"/>
        <v>426.08698000000015</v>
      </c>
      <c r="Y6" s="417" t="e">
        <f t="shared" si="6"/>
        <v>#DIV/0!</v>
      </c>
      <c r="Z6" s="418" t="e">
        <f t="shared" si="7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/>
      <c r="L7" s="409"/>
      <c r="M7" s="407">
        <f t="shared" si="0"/>
        <v>-1000</v>
      </c>
      <c r="N7" s="407">
        <f t="shared" si="8"/>
        <v>-998.5</v>
      </c>
      <c r="O7" s="410"/>
      <c r="P7" s="411">
        <f t="shared" si="1"/>
        <v>-998.5</v>
      </c>
      <c r="Q7" s="412" t="e">
        <f t="shared" si="9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10"/>
        <v>1.4999999999999458E-3</v>
      </c>
      <c r="V7" s="415">
        <f t="shared" si="4"/>
        <v>1.7799999999999999E-3</v>
      </c>
      <c r="W7" s="414">
        <f t="shared" si="5"/>
        <v>1.0017831740498087</v>
      </c>
      <c r="X7" s="416">
        <f t="shared" si="11"/>
        <v>426.08698000000015</v>
      </c>
      <c r="Y7" s="417" t="e">
        <f t="shared" si="6"/>
        <v>#DIV/0!</v>
      </c>
      <c r="Z7" s="418" t="e">
        <f t="shared" si="7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/>
      <c r="L8" s="409"/>
      <c r="M8" s="407">
        <f t="shared" si="0"/>
        <v>-1000</v>
      </c>
      <c r="N8" s="407">
        <f t="shared" si="8"/>
        <v>-998.5</v>
      </c>
      <c r="O8" s="410"/>
      <c r="P8" s="411">
        <f t="shared" si="1"/>
        <v>-998.5</v>
      </c>
      <c r="Q8" s="412" t="e">
        <f t="shared" si="9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10"/>
        <v>1.4999999999999458E-3</v>
      </c>
      <c r="V8" s="415">
        <f t="shared" si="4"/>
        <v>1.7799999999999999E-3</v>
      </c>
      <c r="W8" s="414">
        <f t="shared" si="5"/>
        <v>1.0017831740498087</v>
      </c>
      <c r="X8" s="416">
        <f t="shared" si="11"/>
        <v>426.08698000000015</v>
      </c>
      <c r="Y8" s="417" t="e">
        <f t="shared" si="6"/>
        <v>#DIV/0!</v>
      </c>
      <c r="Z8" s="418" t="e">
        <f t="shared" si="7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8"/>
        <v>-998.5</v>
      </c>
      <c r="O9" s="410"/>
      <c r="P9" s="411">
        <f t="shared" si="1"/>
        <v>-998.5</v>
      </c>
      <c r="Q9" s="412" t="e">
        <f t="shared" si="9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10"/>
        <v>1.4999999999999458E-3</v>
      </c>
      <c r="V9" s="415">
        <f t="shared" si="4"/>
        <v>1.7799999999999999E-3</v>
      </c>
      <c r="W9" s="414">
        <f t="shared" si="5"/>
        <v>1.0017831740498087</v>
      </c>
      <c r="X9" s="416">
        <f t="shared" si="11"/>
        <v>426.08698000000015</v>
      </c>
      <c r="Y9" s="417" t="e">
        <f t="shared" si="6"/>
        <v>#DIV/0!</v>
      </c>
      <c r="Z9" s="418" t="e">
        <f t="shared" si="7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8"/>
        <v>-998.5</v>
      </c>
      <c r="O10" s="410"/>
      <c r="P10" s="411">
        <f t="shared" si="1"/>
        <v>-998.5</v>
      </c>
      <c r="Q10" s="412" t="e">
        <f t="shared" si="9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10"/>
        <v>1.4999999999999458E-3</v>
      </c>
      <c r="V10" s="415">
        <f t="shared" si="4"/>
        <v>1.7799999999999999E-3</v>
      </c>
      <c r="W10" s="414">
        <f t="shared" si="5"/>
        <v>1.0017831740498087</v>
      </c>
      <c r="X10" s="416">
        <f t="shared" si="11"/>
        <v>426.08698000000015</v>
      </c>
      <c r="Y10" s="417" t="e">
        <f t="shared" si="6"/>
        <v>#DIV/0!</v>
      </c>
      <c r="Z10" s="418" t="e">
        <f t="shared" si="7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8"/>
        <v>-998.5</v>
      </c>
      <c r="O11" s="410"/>
      <c r="P11" s="411">
        <f>N11+O11</f>
        <v>-998.5</v>
      </c>
      <c r="Q11" s="412" t="e">
        <f t="shared" si="9"/>
        <v>#DIV/0!</v>
      </c>
      <c r="R11" s="407" t="e">
        <f>$F$36*P11</f>
        <v>#DIV/0!</v>
      </c>
      <c r="S11" s="413" t="e">
        <f>$G$24/100*R11</f>
        <v>#DIV/0!</v>
      </c>
      <c r="U11" s="414">
        <f t="shared" si="10"/>
        <v>1.4999999999999458E-3</v>
      </c>
      <c r="V11" s="415">
        <f t="shared" si="4"/>
        <v>1.7799999999999999E-3</v>
      </c>
      <c r="W11" s="414">
        <f t="shared" si="5"/>
        <v>1.0017831740498087</v>
      </c>
      <c r="X11" s="416">
        <f t="shared" si="11"/>
        <v>426.08698000000015</v>
      </c>
      <c r="Y11" s="417" t="e">
        <f t="shared" si="6"/>
        <v>#DIV/0!</v>
      </c>
      <c r="Z11" s="418" t="e">
        <f t="shared" si="7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/>
      <c r="L12" s="409"/>
      <c r="M12" s="467">
        <f>(L12-1)*1000</f>
        <v>-1000</v>
      </c>
      <c r="N12" s="467">
        <f t="shared" si="8"/>
        <v>-998.5</v>
      </c>
      <c r="O12" s="410"/>
      <c r="P12" s="468">
        <f>N12+O12</f>
        <v>-998.5</v>
      </c>
      <c r="Q12" s="469" t="e">
        <f t="shared" si="9"/>
        <v>#REF!</v>
      </c>
      <c r="R12" s="467" t="e">
        <f>$F$36*P12</f>
        <v>#DIV/0!</v>
      </c>
      <c r="S12" s="470" t="e">
        <f>$G$24/100*R12</f>
        <v>#DIV/0!</v>
      </c>
      <c r="U12" s="414">
        <f t="shared" si="10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1"/>
        <v>426.08698000000015</v>
      </c>
      <c r="Y12" s="417" t="e">
        <f t="shared" si="6"/>
        <v>#DIV/0!</v>
      </c>
      <c r="Z12" s="418" t="e">
        <f t="shared" si="7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43.4</v>
      </c>
      <c r="E13" s="474">
        <f>D13</f>
        <v>43.4</v>
      </c>
      <c r="F13" s="457">
        <f t="shared" si="13"/>
        <v>13.660686181932638</v>
      </c>
      <c r="G13" s="475">
        <f t="shared" si="14"/>
        <v>86.339313818067367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48</v>
      </c>
      <c r="E14" s="474">
        <f>D14</f>
        <v>48</v>
      </c>
      <c r="F14" s="457">
        <f t="shared" si="13"/>
        <v>15.108593012275728</v>
      </c>
      <c r="G14" s="475">
        <f t="shared" si="14"/>
        <v>71.230720805791634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31.1</v>
      </c>
      <c r="E15" s="462">
        <f>D15</f>
        <v>31.1</v>
      </c>
      <c r="F15" s="479">
        <f t="shared" si="13"/>
        <v>9.7891092225369825</v>
      </c>
      <c r="G15" s="480">
        <f t="shared" si="14"/>
        <v>61.441611583254655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640.79999999999995</v>
      </c>
      <c r="E16" s="485">
        <f>D16-C16</f>
        <v>10.399999999999977</v>
      </c>
      <c r="F16" s="457">
        <f t="shared" si="13"/>
        <v>3.2735284859930678</v>
      </c>
      <c r="G16" s="463">
        <f t="shared" si="14"/>
        <v>58.168083097261587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548.1</v>
      </c>
      <c r="E17" s="487">
        <f t="shared" ref="E17:E24" si="15">D17-C17</f>
        <v>28.800000000000068</v>
      </c>
      <c r="F17" s="457">
        <f t="shared" si="13"/>
        <v>9.0651558073654588</v>
      </c>
      <c r="G17" s="475">
        <f t="shared" si="14"/>
        <v>49.10292728989613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537.79999999999995</v>
      </c>
      <c r="E18" s="488">
        <f t="shared" si="15"/>
        <v>31.599999999999966</v>
      </c>
      <c r="F18" s="457">
        <f t="shared" si="13"/>
        <v>9.9464903997481784</v>
      </c>
      <c r="G18" s="475">
        <f t="shared" si="14"/>
        <v>39.156436890147951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402.1</v>
      </c>
      <c r="E19" s="487">
        <f t="shared" si="15"/>
        <v>18.300000000000011</v>
      </c>
      <c r="F19" s="457">
        <f t="shared" si="13"/>
        <v>5.7601510859301257</v>
      </c>
      <c r="G19" s="475">
        <f t="shared" si="14"/>
        <v>33.396285804217825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399.4</v>
      </c>
      <c r="E20" s="488">
        <f t="shared" si="15"/>
        <v>23.199999999999989</v>
      </c>
      <c r="F20" s="457">
        <f t="shared" si="13"/>
        <v>7.3024866225999325</v>
      </c>
      <c r="G20" s="475">
        <f t="shared" si="14"/>
        <v>26.093799181617893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8.3181999999999992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361.3</v>
      </c>
      <c r="E21" s="487">
        <f t="shared" si="15"/>
        <v>30.5</v>
      </c>
      <c r="F21" s="457">
        <f t="shared" si="13"/>
        <v>9.6002518098835363</v>
      </c>
      <c r="G21" s="475">
        <f t="shared" si="14"/>
        <v>16.493547371734358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0.15240000000000001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343.5</v>
      </c>
      <c r="E22" s="488">
        <f t="shared" si="15"/>
        <v>17.399999999999977</v>
      </c>
      <c r="F22" s="457">
        <f t="shared" si="13"/>
        <v>5.476864966949945</v>
      </c>
      <c r="G22" s="475">
        <f t="shared" si="14"/>
        <v>11.016682404784413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54.581364829396314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311.2</v>
      </c>
      <c r="E23" s="487">
        <f t="shared" si="15"/>
        <v>6.8000000000000114</v>
      </c>
      <c r="F23" s="457">
        <f t="shared" si="13"/>
        <v>2.1403840100723985</v>
      </c>
      <c r="G23" s="490">
        <f t="shared" si="14"/>
        <v>8.8762983947120144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315.7</v>
      </c>
      <c r="E24" s="488">
        <f t="shared" si="15"/>
        <v>2</v>
      </c>
      <c r="F24" s="492">
        <f t="shared" si="13"/>
        <v>0.62952470884482203</v>
      </c>
      <c r="G24" s="493">
        <f t="shared" si="14"/>
        <v>8.2467736858671916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2.7750138047999992E-4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367.6</v>
      </c>
      <c r="E25" s="496">
        <f>D25-C25+(G6-C26)</f>
        <v>26.200000000000045</v>
      </c>
      <c r="F25" s="457">
        <f t="shared" si="13"/>
        <v>8.2467736858671827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293.89999999999998</v>
      </c>
      <c r="D26" s="498" t="s">
        <v>19</v>
      </c>
      <c r="E26" s="499">
        <f>SUM(E12:E25)</f>
        <v>317.70000000000005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2.2999999999999545</v>
      </c>
      <c r="F27" s="505">
        <f>IF((E27/G6*100)&gt;1,"Fehler zu groß",(E27/G6*100))</f>
        <v>0.71874999999998579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1.9748399212800002E-5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3.4210000000000002E-4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7"/>
  <sheetViews>
    <sheetView showWhiteSpace="0" topLeftCell="A7" zoomScale="85" zoomScaleNormal="85" workbookViewId="0">
      <selection activeCell="S43" sqref="S43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139</v>
      </c>
      <c r="D3" s="385" t="s">
        <v>25</v>
      </c>
      <c r="E3" s="387">
        <v>40022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372">
        <v>22</v>
      </c>
      <c r="L4" s="409">
        <v>1.004</v>
      </c>
      <c r="M4" s="407">
        <f t="shared" ref="M4:M10" si="0">(L4-1)*1000</f>
        <v>4.0000000000000036</v>
      </c>
      <c r="N4" s="407">
        <f>M4+$G$33</f>
        <v>5.4999999999999494</v>
      </c>
      <c r="O4" s="410">
        <v>0.4</v>
      </c>
      <c r="P4" s="411">
        <f t="shared" ref="P4:P10" si="1">N4+O4</f>
        <v>5.8999999999999497</v>
      </c>
      <c r="Q4" s="412">
        <f>((18.35*V4/($F$34-W4))*Z4)^0.5</f>
        <v>8.0874717728207299E-2</v>
      </c>
      <c r="R4" s="407">
        <f t="shared" ref="R4:R10" si="2">$F$36*P4</f>
        <v>82.397891963108648</v>
      </c>
      <c r="S4" s="413">
        <f t="shared" ref="S4:S10" si="3">$G$24/100*R4</f>
        <v>43.79415517724275</v>
      </c>
      <c r="U4" s="414">
        <f>1+0.001*N4</f>
        <v>1.0055000000000001</v>
      </c>
      <c r="V4" s="415">
        <f t="shared" ref="V4:V11" si="4">0.00178/(1+0.0337*K5+0.00022*K5^2)</f>
        <v>9.6326601294456345E-4</v>
      </c>
      <c r="W4" s="414">
        <f t="shared" ref="W4:W11" si="5">1/(1+((2.31*K5-2)^2-182)*0.00001)</f>
        <v>0.9784602504104436</v>
      </c>
      <c r="X4" s="416">
        <f>4142.8*(1.03-U4)/10</f>
        <v>10.149859999999986</v>
      </c>
      <c r="Y4" s="417">
        <f t="shared" ref="Y4:Y12" si="6">X4+$AB$5+0.5*($AC$5-$AD$5/$AE$5)</f>
        <v>18.555865387852911</v>
      </c>
      <c r="Z4" s="418">
        <f t="shared" ref="Z4:Z12" si="7">Y4/I4</f>
        <v>0.61852884626176374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>
        <v>22</v>
      </c>
      <c r="L5" s="409">
        <v>1.0035000000000001</v>
      </c>
      <c r="M5" s="407">
        <f t="shared" si="0"/>
        <v>3.5000000000000586</v>
      </c>
      <c r="N5" s="407">
        <f t="shared" ref="N5:N12" si="8">M5+$G$33</f>
        <v>5.0000000000000044</v>
      </c>
      <c r="O5" s="410">
        <v>0.4</v>
      </c>
      <c r="P5" s="411">
        <f t="shared" si="1"/>
        <v>5.4000000000000048</v>
      </c>
      <c r="Q5" s="412">
        <f t="shared" ref="Q5:Q12" si="9">((18.35*V5/($F$34-W5))*Z5)^0.5</f>
        <v>5.7505366414484872E-2</v>
      </c>
      <c r="R5" s="407">
        <f t="shared" si="2"/>
        <v>75.415019762845915</v>
      </c>
      <c r="S5" s="413">
        <f t="shared" si="3"/>
        <v>40.082786094425948</v>
      </c>
      <c r="U5" s="414">
        <f t="shared" ref="U5:U12" si="10">1+0.001*N5</f>
        <v>1.0049999999999999</v>
      </c>
      <c r="V5" s="415">
        <f t="shared" si="4"/>
        <v>9.6326601294456345E-4</v>
      </c>
      <c r="W5" s="414">
        <f t="shared" si="5"/>
        <v>0.9784602504104436</v>
      </c>
      <c r="X5" s="416">
        <f t="shared" ref="X5:X12" si="11">4142.8*(1.03-U5)/10</f>
        <v>10.357000000000056</v>
      </c>
      <c r="Y5" s="417">
        <f t="shared" si="6"/>
        <v>18.763005387852978</v>
      </c>
      <c r="Z5" s="418">
        <f t="shared" si="7"/>
        <v>0.31271675646421632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254.6</v>
      </c>
      <c r="I6" s="406">
        <f t="shared" ref="I6:I12" si="12">J6*60</f>
        <v>120</v>
      </c>
      <c r="J6" s="426">
        <v>2</v>
      </c>
      <c r="K6" s="408">
        <v>22</v>
      </c>
      <c r="L6" s="409">
        <v>1.0029999999999999</v>
      </c>
      <c r="M6" s="407">
        <f t="shared" si="0"/>
        <v>2.9999999999998916</v>
      </c>
      <c r="N6" s="407">
        <f t="shared" si="8"/>
        <v>4.4999999999998375</v>
      </c>
      <c r="O6" s="410">
        <v>0.4</v>
      </c>
      <c r="P6" s="411">
        <f t="shared" si="1"/>
        <v>4.8999999999998378</v>
      </c>
      <c r="Q6" s="412">
        <f t="shared" si="9"/>
        <v>4.0886271223478703E-2</v>
      </c>
      <c r="R6" s="407">
        <f t="shared" si="2"/>
        <v>68.43214756258007</v>
      </c>
      <c r="S6" s="413">
        <f t="shared" si="3"/>
        <v>36.371417011607491</v>
      </c>
      <c r="U6" s="414">
        <f t="shared" si="10"/>
        <v>1.0044999999999997</v>
      </c>
      <c r="V6" s="415">
        <f t="shared" si="4"/>
        <v>9.6326601294456345E-4</v>
      </c>
      <c r="W6" s="414">
        <f t="shared" si="5"/>
        <v>0.9784602504104436</v>
      </c>
      <c r="X6" s="416">
        <f t="shared" si="11"/>
        <v>10.564140000000126</v>
      </c>
      <c r="Y6" s="417">
        <f t="shared" si="6"/>
        <v>18.970145387853051</v>
      </c>
      <c r="Z6" s="418">
        <f t="shared" si="7"/>
        <v>0.15808454489877544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>
        <v>22</v>
      </c>
      <c r="L7" s="409">
        <v>1.002</v>
      </c>
      <c r="M7" s="407">
        <f t="shared" si="0"/>
        <v>2.0000000000000018</v>
      </c>
      <c r="N7" s="407">
        <f t="shared" si="8"/>
        <v>3.4999999999999476</v>
      </c>
      <c r="O7" s="410">
        <v>0.4</v>
      </c>
      <c r="P7" s="411">
        <f t="shared" si="1"/>
        <v>3.8999999999999475</v>
      </c>
      <c r="Q7" s="412">
        <f t="shared" si="9"/>
        <v>2.6139581918733182E-2</v>
      </c>
      <c r="R7" s="407">
        <f t="shared" si="2"/>
        <v>54.466403162054597</v>
      </c>
      <c r="S7" s="413">
        <f t="shared" si="3"/>
        <v>28.94867884597388</v>
      </c>
      <c r="U7" s="414">
        <f t="shared" si="10"/>
        <v>1.0034999999999998</v>
      </c>
      <c r="V7" s="415">
        <f t="shared" si="4"/>
        <v>9.6326601294456345E-4</v>
      </c>
      <c r="W7" s="414">
        <f t="shared" si="5"/>
        <v>0.9784602504104436</v>
      </c>
      <c r="X7" s="416">
        <f t="shared" si="11"/>
        <v>10.97842000000008</v>
      </c>
      <c r="Y7" s="417">
        <f t="shared" si="6"/>
        <v>19.384425387853003</v>
      </c>
      <c r="Z7" s="418">
        <f t="shared" si="7"/>
        <v>6.4614751292843345E-2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>
        <v>22</v>
      </c>
      <c r="L8" s="409">
        <v>1.0009999999999999</v>
      </c>
      <c r="M8" s="407">
        <f t="shared" si="0"/>
        <v>0.99999999999988987</v>
      </c>
      <c r="N8" s="407">
        <f t="shared" si="8"/>
        <v>2.4999999999998357</v>
      </c>
      <c r="O8" s="410">
        <v>0.4</v>
      </c>
      <c r="P8" s="411">
        <f t="shared" si="1"/>
        <v>2.8999999999998356</v>
      </c>
      <c r="Q8" s="412">
        <f t="shared" si="9"/>
        <v>1.5252110410785566E-2</v>
      </c>
      <c r="R8" s="407">
        <f t="shared" si="2"/>
        <v>40.500658761526026</v>
      </c>
      <c r="S8" s="413">
        <f t="shared" si="3"/>
        <v>21.525940680338621</v>
      </c>
      <c r="U8" s="414">
        <f t="shared" si="10"/>
        <v>1.0024999999999999</v>
      </c>
      <c r="V8" s="415">
        <f t="shared" si="4"/>
        <v>9.6326601294456345E-4</v>
      </c>
      <c r="W8" s="414">
        <f t="shared" si="5"/>
        <v>0.9784602504104436</v>
      </c>
      <c r="X8" s="416">
        <f t="shared" si="11"/>
        <v>11.392700000000033</v>
      </c>
      <c r="Y8" s="417">
        <f t="shared" si="6"/>
        <v>19.798705387852955</v>
      </c>
      <c r="Z8" s="418">
        <f t="shared" si="7"/>
        <v>2.1998561542058839E-2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>
        <v>22</v>
      </c>
      <c r="L9" s="409">
        <v>1.0004999999999999</v>
      </c>
      <c r="M9" s="407">
        <f t="shared" si="0"/>
        <v>0.49999999999994493</v>
      </c>
      <c r="N9" s="407">
        <f t="shared" si="8"/>
        <v>1.9999999999998908</v>
      </c>
      <c r="O9" s="410">
        <v>0.4</v>
      </c>
      <c r="P9" s="411">
        <f t="shared" si="1"/>
        <v>2.3999999999998907</v>
      </c>
      <c r="Q9" s="412">
        <f t="shared" si="9"/>
        <v>8.8517547066449091E-3</v>
      </c>
      <c r="R9" s="407">
        <f t="shared" si="2"/>
        <v>33.517786561263293</v>
      </c>
      <c r="S9" s="413">
        <f t="shared" si="3"/>
        <v>17.814571597521816</v>
      </c>
      <c r="U9" s="414">
        <f t="shared" si="10"/>
        <v>1.0019999999999998</v>
      </c>
      <c r="V9" s="415">
        <f t="shared" si="4"/>
        <v>9.6326601294456345E-4</v>
      </c>
      <c r="W9" s="414">
        <f t="shared" si="5"/>
        <v>0.9784602504104436</v>
      </c>
      <c r="X9" s="416">
        <f t="shared" si="11"/>
        <v>11.599840000000103</v>
      </c>
      <c r="Y9" s="417">
        <f t="shared" si="6"/>
        <v>20.005845387853029</v>
      </c>
      <c r="Z9" s="418">
        <f t="shared" si="7"/>
        <v>7.4095723658714925E-3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>
        <v>22</v>
      </c>
      <c r="L10" s="409">
        <v>1</v>
      </c>
      <c r="M10" s="407">
        <f t="shared" si="0"/>
        <v>0</v>
      </c>
      <c r="N10" s="407">
        <f t="shared" si="8"/>
        <v>1.4999999999999458</v>
      </c>
      <c r="O10" s="410">
        <v>0.4</v>
      </c>
      <c r="P10" s="411">
        <f t="shared" si="1"/>
        <v>1.8999999999999457</v>
      </c>
      <c r="Q10" s="412">
        <f t="shared" si="9"/>
        <v>5.5168146949420467E-3</v>
      </c>
      <c r="R10" s="407">
        <f t="shared" si="2"/>
        <v>26.534914361000556</v>
      </c>
      <c r="S10" s="413">
        <f t="shared" si="3"/>
        <v>14.103202514705009</v>
      </c>
      <c r="U10" s="414">
        <f t="shared" si="10"/>
        <v>1.0015000000000001</v>
      </c>
      <c r="V10" s="415">
        <f t="shared" si="4"/>
        <v>9.863025843344119E-4</v>
      </c>
      <c r="W10" s="414">
        <f t="shared" si="5"/>
        <v>0.98057308124835096</v>
      </c>
      <c r="X10" s="416">
        <f t="shared" si="11"/>
        <v>11.806979999999989</v>
      </c>
      <c r="Y10" s="417">
        <f t="shared" si="6"/>
        <v>20.21298538785291</v>
      </c>
      <c r="Z10" s="418">
        <f t="shared" si="7"/>
        <v>2.8073590816462377E-3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>
        <v>21</v>
      </c>
      <c r="L11" s="409">
        <v>1</v>
      </c>
      <c r="M11" s="407">
        <f>(L11-1)*1000</f>
        <v>0</v>
      </c>
      <c r="N11" s="407">
        <f t="shared" si="8"/>
        <v>1.4999999999999458</v>
      </c>
      <c r="O11" s="410">
        <v>0.19</v>
      </c>
      <c r="P11" s="411">
        <f>N11+O11</f>
        <v>1.6899999999999458</v>
      </c>
      <c r="Q11" s="412">
        <f t="shared" si="9"/>
        <v>3.1457278989187997E-3</v>
      </c>
      <c r="R11" s="407">
        <f>$F$36*P11</f>
        <v>23.602108036889884</v>
      </c>
      <c r="S11" s="413">
        <f>$G$24/100*R11</f>
        <v>12.544427499921779</v>
      </c>
      <c r="U11" s="414">
        <f t="shared" si="10"/>
        <v>1.0015000000000001</v>
      </c>
      <c r="V11" s="415">
        <f t="shared" si="4"/>
        <v>9.6326601294456345E-4</v>
      </c>
      <c r="W11" s="414">
        <f t="shared" si="5"/>
        <v>0.9784602504104436</v>
      </c>
      <c r="X11" s="416">
        <f t="shared" si="11"/>
        <v>11.806979999999989</v>
      </c>
      <c r="Y11" s="417">
        <f t="shared" si="6"/>
        <v>20.21298538785291</v>
      </c>
      <c r="Z11" s="418">
        <f t="shared" si="7"/>
        <v>9.3578636054874589E-4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>
        <v>22</v>
      </c>
      <c r="L12" s="409">
        <v>0.99950000000000006</v>
      </c>
      <c r="M12" s="467">
        <f>(L12-1)*1000</f>
        <v>-0.49999999999994493</v>
      </c>
      <c r="N12" s="467">
        <f t="shared" si="8"/>
        <v>1.0000000000000009</v>
      </c>
      <c r="O12" s="410">
        <v>0.4</v>
      </c>
      <c r="P12" s="468">
        <f>N12+O12</f>
        <v>1.4000000000000008</v>
      </c>
      <c r="Q12" s="469">
        <f t="shared" si="9"/>
        <v>2.1284256035470515E-3</v>
      </c>
      <c r="R12" s="467">
        <f>$F$36*P12</f>
        <v>19.552042160737823</v>
      </c>
      <c r="S12" s="470">
        <f>$G$24/100*R12</f>
        <v>10.391833431888205</v>
      </c>
      <c r="U12" s="414">
        <f t="shared" si="10"/>
        <v>1.0009999999999999</v>
      </c>
      <c r="V12" s="415">
        <f>0.00178/(1+0.0337*L12+0.00022*L12^2)</f>
        <v>1.7216316428325725E-3</v>
      </c>
      <c r="W12" s="414">
        <f>1/(1+((2.31*L12-2)^2-182)*0.00001)</f>
        <v>1.0018223611066104</v>
      </c>
      <c r="X12" s="416">
        <f t="shared" si="11"/>
        <v>12.014120000000057</v>
      </c>
      <c r="Y12" s="417">
        <f t="shared" si="6"/>
        <v>20.42012538785298</v>
      </c>
      <c r="Z12" s="418">
        <f t="shared" si="7"/>
        <v>2.3634404384089097E-4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47.2</v>
      </c>
      <c r="E13" s="474">
        <f>D13</f>
        <v>47.2</v>
      </c>
      <c r="F13" s="457">
        <f t="shared" si="13"/>
        <v>18.582677165354326</v>
      </c>
      <c r="G13" s="475">
        <f t="shared" si="14"/>
        <v>81.417322834645674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13.1</v>
      </c>
      <c r="E14" s="474">
        <f>D14</f>
        <v>13.1</v>
      </c>
      <c r="F14" s="457">
        <f t="shared" si="13"/>
        <v>5.1574803149606279</v>
      </c>
      <c r="G14" s="475">
        <f t="shared" si="14"/>
        <v>76.259842519685051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3"/>
        <v>0</v>
      </c>
      <c r="G15" s="480">
        <f t="shared" si="14"/>
        <v>76.259842519685051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630.4</v>
      </c>
      <c r="E16" s="485">
        <f>D16-C16</f>
        <v>0</v>
      </c>
      <c r="F16" s="457">
        <f t="shared" si="13"/>
        <v>0</v>
      </c>
      <c r="G16" s="463">
        <f t="shared" si="14"/>
        <v>76.259842519685051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519.5</v>
      </c>
      <c r="E17" s="487">
        <f t="shared" ref="E17:E24" si="15">D17-C17</f>
        <v>0.20000000000004547</v>
      </c>
      <c r="F17" s="457">
        <f t="shared" si="13"/>
        <v>7.8740157480332834E-2</v>
      </c>
      <c r="G17" s="475">
        <f t="shared" si="14"/>
        <v>76.181102362204712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507.3</v>
      </c>
      <c r="E18" s="488">
        <f t="shared" si="15"/>
        <v>1.1000000000000227</v>
      </c>
      <c r="F18" s="457">
        <f t="shared" si="13"/>
        <v>0.43307086614174112</v>
      </c>
      <c r="G18" s="475">
        <f t="shared" si="14"/>
        <v>75.748031496062964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387</v>
      </c>
      <c r="E19" s="487">
        <f t="shared" si="15"/>
        <v>3.1999999999999886</v>
      </c>
      <c r="F19" s="457">
        <f t="shared" si="13"/>
        <v>1.2598425196850345</v>
      </c>
      <c r="G19" s="475">
        <f t="shared" si="14"/>
        <v>74.488188976377927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387.6</v>
      </c>
      <c r="E20" s="488">
        <f t="shared" si="15"/>
        <v>11.400000000000034</v>
      </c>
      <c r="F20" s="457">
        <f t="shared" si="13"/>
        <v>4.4881889763779643</v>
      </c>
      <c r="G20" s="475">
        <f t="shared" si="14"/>
        <v>69.999999999999957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346.7</v>
      </c>
      <c r="E21" s="487">
        <f t="shared" si="15"/>
        <v>15.899999999999977</v>
      </c>
      <c r="F21" s="457">
        <f t="shared" si="13"/>
        <v>6.2598425196850283</v>
      </c>
      <c r="G21" s="475">
        <f t="shared" si="14"/>
        <v>63.740157480314927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345.6</v>
      </c>
      <c r="E22" s="488">
        <f t="shared" si="15"/>
        <v>19.5</v>
      </c>
      <c r="F22" s="457">
        <f t="shared" si="13"/>
        <v>7.6771653543307057</v>
      </c>
      <c r="G22" s="475">
        <f t="shared" si="14"/>
        <v>56.062992125984223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310.5</v>
      </c>
      <c r="E23" s="487">
        <f t="shared" si="15"/>
        <v>6.1000000000000227</v>
      </c>
      <c r="F23" s="457">
        <f t="shared" si="13"/>
        <v>2.4015748031496145</v>
      </c>
      <c r="G23" s="490">
        <f t="shared" si="14"/>
        <v>53.661417322834609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</v>
      </c>
      <c r="E24" s="488">
        <f t="shared" si="15"/>
        <v>1.3000000000000114</v>
      </c>
      <c r="F24" s="492">
        <f t="shared" si="13"/>
        <v>0.51181102362205155</v>
      </c>
      <c r="G24" s="493">
        <f t="shared" si="14"/>
        <v>53.149606299212557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367.4</v>
      </c>
      <c r="E25" s="496">
        <f>D25-C25+(G6-C26)</f>
        <v>134.99999999999997</v>
      </c>
      <c r="F25" s="457">
        <f t="shared" si="13"/>
        <v>53.149606299212572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119.5</v>
      </c>
      <c r="D26" s="498" t="s">
        <v>19</v>
      </c>
      <c r="E26" s="499">
        <f>SUM(E12:E25)</f>
        <v>254.00000000000009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0.59999999999990905</v>
      </c>
      <c r="F27" s="505">
        <f>IF((E27/G6*100)&gt;1,"Fehler zu groß",(E27/G6*100))</f>
        <v>0.23566378633146468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>
        <v>11.5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13.965744400527008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X36" s="116"/>
      <c r="Y36" s="116"/>
      <c r="Z36" s="116"/>
    </row>
    <row r="37" spans="1:26" x14ac:dyDescent="0.2">
      <c r="W37" s="839">
        <v>3.0039999999999998E-4</v>
      </c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7"/>
  <sheetViews>
    <sheetView showWhiteSpace="0" topLeftCell="A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140</v>
      </c>
      <c r="D3" s="385" t="s">
        <v>25</v>
      </c>
      <c r="E3" s="387">
        <v>40022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853">
        <v>22</v>
      </c>
      <c r="L4" s="409">
        <v>1.0029999999999999</v>
      </c>
      <c r="M4" s="407">
        <f t="shared" ref="M4:M12" si="0">(L4-1)*1000</f>
        <v>2.9999999999998916</v>
      </c>
      <c r="N4" s="407">
        <f>M4+$G$33</f>
        <v>4.4999999999998375</v>
      </c>
      <c r="O4" s="410">
        <v>0.4</v>
      </c>
      <c r="P4" s="411">
        <f t="shared" ref="P4:P10" si="1">N4+O4</f>
        <v>4.8999999999998378</v>
      </c>
      <c r="Q4" s="412">
        <f>((18.35*V4/($F$34-W4))*Z4)^0.5</f>
        <v>8.166300652902321E-2</v>
      </c>
      <c r="R4" s="407">
        <f t="shared" ref="R4:R10" si="2">$F$36*P4</f>
        <v>97.156752712305064</v>
      </c>
      <c r="S4" s="413">
        <f t="shared" ref="S4:S10" si="3">$G$24/100*R4</f>
        <v>55.035718070004648</v>
      </c>
      <c r="U4" s="414">
        <f>1+0.001*N4</f>
        <v>1.0044999999999997</v>
      </c>
      <c r="V4" s="415">
        <f>0.00178/(1+0.0337*K5+0.00022*K5^2)</f>
        <v>9.6326601294456345E-4</v>
      </c>
      <c r="W4" s="414">
        <f>1/(1+((2.31*K5-2)^2-182)*0.00001)</f>
        <v>0.9784602504104436</v>
      </c>
      <c r="X4" s="416">
        <f>4142.8*(1.03-U4)/10</f>
        <v>10.564140000000126</v>
      </c>
      <c r="Y4" s="417">
        <f t="shared" ref="Y4:Y12" si="4">X4+$AB$5+0.5*($AC$5-$AD$5/$AE$5)</f>
        <v>18.919357665612402</v>
      </c>
      <c r="Z4" s="418">
        <f t="shared" ref="Z4:Z12" si="5">Y4/I4</f>
        <v>0.63064525552041339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853">
        <v>22</v>
      </c>
      <c r="L5" s="409">
        <v>1.002</v>
      </c>
      <c r="M5" s="407">
        <f t="shared" si="0"/>
        <v>2.0000000000000018</v>
      </c>
      <c r="N5" s="407">
        <f t="shared" ref="N5:N12" si="6">M5+$G$33</f>
        <v>3.4999999999999476</v>
      </c>
      <c r="O5" s="410">
        <v>0.4</v>
      </c>
      <c r="P5" s="411">
        <f t="shared" si="1"/>
        <v>3.8999999999999475</v>
      </c>
      <c r="Q5" s="412">
        <f t="shared" ref="Q5:Q12" si="7">((18.35*V5/($F$34-W5))*Z5)^0.5</f>
        <v>5.8373261712797345E-2</v>
      </c>
      <c r="R5" s="407">
        <f t="shared" si="2"/>
        <v>77.328843995509629</v>
      </c>
      <c r="S5" s="413">
        <f t="shared" si="3"/>
        <v>43.803938872045372</v>
      </c>
      <c r="U5" s="414">
        <f t="shared" ref="U5:U12" si="8">1+0.001*N5</f>
        <v>1.0034999999999998</v>
      </c>
      <c r="V5" s="415">
        <f>0.00178/(1+0.0337*K5+0.00022*K5^2)</f>
        <v>9.6326601294456345E-4</v>
      </c>
      <c r="W5" s="414">
        <f>1/(1+((2.31*K5-2)^2-182)*0.00001)</f>
        <v>0.9784602504104436</v>
      </c>
      <c r="X5" s="416">
        <f t="shared" ref="X5:X12" si="9">4142.8*(1.03-U5)/10</f>
        <v>10.97842000000008</v>
      </c>
      <c r="Y5" s="417">
        <f t="shared" si="4"/>
        <v>19.333637665612358</v>
      </c>
      <c r="Z5" s="418">
        <f t="shared" si="5"/>
        <v>0.32222729442687265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213.4</v>
      </c>
      <c r="I6" s="406">
        <f t="shared" ref="I6:I12" si="10">J6*60</f>
        <v>120</v>
      </c>
      <c r="J6" s="426">
        <v>2</v>
      </c>
      <c r="K6" s="853">
        <v>22</v>
      </c>
      <c r="L6" s="409">
        <v>1.0009999999999999</v>
      </c>
      <c r="M6" s="407">
        <f t="shared" si="0"/>
        <v>0.99999999999988987</v>
      </c>
      <c r="N6" s="407">
        <f t="shared" si="6"/>
        <v>2.4999999999998357</v>
      </c>
      <c r="O6" s="410">
        <v>0.4</v>
      </c>
      <c r="P6" s="411">
        <f t="shared" si="1"/>
        <v>2.8999999999998356</v>
      </c>
      <c r="Q6" s="412">
        <f t="shared" si="7"/>
        <v>4.1716016398392002E-2</v>
      </c>
      <c r="R6" s="407">
        <f t="shared" si="2"/>
        <v>57.500935278709804</v>
      </c>
      <c r="S6" s="413">
        <f t="shared" si="3"/>
        <v>32.572159674083615</v>
      </c>
      <c r="U6" s="414">
        <f t="shared" si="8"/>
        <v>1.0024999999999999</v>
      </c>
      <c r="V6" s="415">
        <f t="shared" ref="V6:V12" si="11">0.00178/(1+0.0337*K6+0.00022*K6^2)</f>
        <v>9.6326601294456345E-4</v>
      </c>
      <c r="W6" s="414">
        <f t="shared" ref="W6:W12" si="12">1/(1+((2.31*K6-2)^2-182)*0.00001)</f>
        <v>0.9784602504104436</v>
      </c>
      <c r="X6" s="416">
        <f t="shared" si="9"/>
        <v>11.392700000000033</v>
      </c>
      <c r="Y6" s="417">
        <f t="shared" si="4"/>
        <v>19.747917665612309</v>
      </c>
      <c r="Z6" s="418">
        <f t="shared" si="5"/>
        <v>0.16456598054676924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0"/>
        <v>300</v>
      </c>
      <c r="J7" s="426">
        <v>5</v>
      </c>
      <c r="K7" s="853">
        <v>22</v>
      </c>
      <c r="L7" s="409">
        <v>1</v>
      </c>
      <c r="M7" s="407">
        <f t="shared" si="0"/>
        <v>0</v>
      </c>
      <c r="N7" s="407">
        <f t="shared" si="6"/>
        <v>1.4999999999999458</v>
      </c>
      <c r="O7" s="410">
        <v>0.4</v>
      </c>
      <c r="P7" s="411">
        <f t="shared" si="1"/>
        <v>1.8999999999999457</v>
      </c>
      <c r="Q7" s="412">
        <f t="shared" si="7"/>
        <v>2.6658831233243925E-2</v>
      </c>
      <c r="R7" s="407">
        <f t="shared" si="2"/>
        <v>37.673026561914384</v>
      </c>
      <c r="S7" s="413">
        <f t="shared" si="3"/>
        <v>21.340380476124349</v>
      </c>
      <c r="U7" s="414">
        <f t="shared" si="8"/>
        <v>1.0015000000000001</v>
      </c>
      <c r="V7" s="415">
        <f t="shared" si="11"/>
        <v>9.6326601294456345E-4</v>
      </c>
      <c r="W7" s="414">
        <f t="shared" si="12"/>
        <v>0.9784602504104436</v>
      </c>
      <c r="X7" s="416">
        <f t="shared" si="9"/>
        <v>11.806979999999989</v>
      </c>
      <c r="Y7" s="417">
        <f t="shared" si="4"/>
        <v>20.162197665612265</v>
      </c>
      <c r="Z7" s="418">
        <f t="shared" si="5"/>
        <v>6.7207325552040884E-2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0"/>
        <v>900</v>
      </c>
      <c r="J8" s="426">
        <v>15</v>
      </c>
      <c r="K8" s="853">
        <v>22</v>
      </c>
      <c r="L8" s="409">
        <v>0.99950000000000006</v>
      </c>
      <c r="M8" s="407">
        <f t="shared" si="0"/>
        <v>-0.49999999999994493</v>
      </c>
      <c r="N8" s="407">
        <f t="shared" si="6"/>
        <v>1.0000000000000009</v>
      </c>
      <c r="O8" s="410">
        <v>0.4</v>
      </c>
      <c r="P8" s="411">
        <f t="shared" si="1"/>
        <v>1.4000000000000008</v>
      </c>
      <c r="Q8" s="412">
        <f t="shared" si="7"/>
        <v>1.5470344956870377E-2</v>
      </c>
      <c r="R8" s="407">
        <f t="shared" si="2"/>
        <v>27.759072203516666</v>
      </c>
      <c r="S8" s="413">
        <f t="shared" si="3"/>
        <v>15.724490877144714</v>
      </c>
      <c r="U8" s="414">
        <f t="shared" si="8"/>
        <v>1.0009999999999999</v>
      </c>
      <c r="V8" s="415">
        <f t="shared" si="11"/>
        <v>9.6326601294456345E-4</v>
      </c>
      <c r="W8" s="414">
        <f t="shared" si="12"/>
        <v>0.9784602504104436</v>
      </c>
      <c r="X8" s="416">
        <f t="shared" si="9"/>
        <v>12.014120000000057</v>
      </c>
      <c r="Y8" s="417">
        <f t="shared" si="4"/>
        <v>20.369337665612335</v>
      </c>
      <c r="Z8" s="418">
        <f t="shared" si="5"/>
        <v>2.2632597406235928E-2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0"/>
        <v>2700</v>
      </c>
      <c r="J9" s="426">
        <v>45</v>
      </c>
      <c r="K9" s="853">
        <v>22</v>
      </c>
      <c r="L9" s="409">
        <v>0.999</v>
      </c>
      <c r="M9" s="407">
        <f t="shared" si="0"/>
        <v>-1.0000000000000009</v>
      </c>
      <c r="N9" s="407">
        <f t="shared" si="6"/>
        <v>0.49999999999994493</v>
      </c>
      <c r="O9" s="410">
        <v>0.4</v>
      </c>
      <c r="P9" s="411">
        <f t="shared" si="1"/>
        <v>0.89999999999994496</v>
      </c>
      <c r="Q9" s="412">
        <f t="shared" si="7"/>
        <v>8.9771076496757557E-3</v>
      </c>
      <c r="R9" s="407">
        <f t="shared" si="2"/>
        <v>17.845117845116757</v>
      </c>
      <c r="S9" s="413">
        <f t="shared" si="3"/>
        <v>10.108601278163835</v>
      </c>
      <c r="U9" s="414">
        <f t="shared" si="8"/>
        <v>1.0004999999999999</v>
      </c>
      <c r="V9" s="415">
        <f t="shared" si="11"/>
        <v>9.6326601294456345E-4</v>
      </c>
      <c r="W9" s="414">
        <f t="shared" si="12"/>
        <v>0.9784602504104436</v>
      </c>
      <c r="X9" s="416">
        <f t="shared" si="9"/>
        <v>12.221260000000035</v>
      </c>
      <c r="Y9" s="417">
        <f t="shared" si="4"/>
        <v>20.576477665612309</v>
      </c>
      <c r="Z9" s="418">
        <f t="shared" si="5"/>
        <v>7.6209176539304849E-3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0"/>
        <v>7200</v>
      </c>
      <c r="J10" s="426">
        <v>120</v>
      </c>
      <c r="K10" s="853">
        <v>22</v>
      </c>
      <c r="L10" s="409">
        <v>0.99850000000000005</v>
      </c>
      <c r="M10" s="407">
        <f t="shared" si="0"/>
        <v>-1.4999999999999458</v>
      </c>
      <c r="N10" s="407">
        <f t="shared" si="6"/>
        <v>0</v>
      </c>
      <c r="O10" s="410">
        <v>0.4</v>
      </c>
      <c r="P10" s="411">
        <f t="shared" si="1"/>
        <v>0.4</v>
      </c>
      <c r="Q10" s="412">
        <f t="shared" si="7"/>
        <v>5.5249343597756576E-3</v>
      </c>
      <c r="R10" s="407">
        <f t="shared" si="2"/>
        <v>7.9311634867190435</v>
      </c>
      <c r="S10" s="413">
        <f t="shared" si="3"/>
        <v>4.4927116791842012</v>
      </c>
      <c r="U10" s="414">
        <f t="shared" si="8"/>
        <v>1</v>
      </c>
      <c r="V10" s="415">
        <f t="shared" si="11"/>
        <v>9.6326601294456345E-4</v>
      </c>
      <c r="W10" s="414">
        <f t="shared" si="12"/>
        <v>0.9784602504104436</v>
      </c>
      <c r="X10" s="416">
        <f t="shared" si="9"/>
        <v>12.428400000000012</v>
      </c>
      <c r="Y10" s="417">
        <f t="shared" si="4"/>
        <v>20.78361766561229</v>
      </c>
      <c r="Z10" s="418">
        <f t="shared" si="5"/>
        <v>2.8866135646683738E-3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0"/>
        <v>21600</v>
      </c>
      <c r="J11" s="426">
        <v>360</v>
      </c>
      <c r="K11" s="853">
        <v>22</v>
      </c>
      <c r="L11" s="409">
        <v>0.998</v>
      </c>
      <c r="M11" s="407">
        <f t="shared" si="0"/>
        <v>-2.0000000000000018</v>
      </c>
      <c r="N11" s="407">
        <f t="shared" si="6"/>
        <v>-0.50000000000005596</v>
      </c>
      <c r="O11" s="410">
        <v>0.4</v>
      </c>
      <c r="P11" s="411">
        <f>N11+O11</f>
        <v>-0.10000000000005593</v>
      </c>
      <c r="Q11" s="412">
        <f t="shared" si="7"/>
        <v>3.2056786178051421E-3</v>
      </c>
      <c r="R11" s="407">
        <f>$F$36*P11</f>
        <v>-1.98279087168087</v>
      </c>
      <c r="S11" s="413">
        <f>$G$24/100*R11</f>
        <v>-1.1231779197966787</v>
      </c>
      <c r="U11" s="414">
        <f t="shared" si="8"/>
        <v>0.99949999999999994</v>
      </c>
      <c r="V11" s="415">
        <f t="shared" si="11"/>
        <v>9.6326601294456345E-4</v>
      </c>
      <c r="W11" s="414">
        <f t="shared" si="12"/>
        <v>0.9784602504104436</v>
      </c>
      <c r="X11" s="416">
        <f t="shared" si="9"/>
        <v>12.635540000000034</v>
      </c>
      <c r="Y11" s="417">
        <f t="shared" si="4"/>
        <v>20.99075766561231</v>
      </c>
      <c r="Z11" s="418">
        <f t="shared" si="5"/>
        <v>9.7179433637094032E-4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0"/>
        <v>86400</v>
      </c>
      <c r="J12" s="465">
        <v>1440</v>
      </c>
      <c r="K12" s="854">
        <v>22</v>
      </c>
      <c r="L12" s="466">
        <v>0.99750000000000005</v>
      </c>
      <c r="M12" s="467">
        <f t="shared" si="0"/>
        <v>-2.4999999999999467</v>
      </c>
      <c r="N12" s="467">
        <f t="shared" si="6"/>
        <v>-1.0000000000000009</v>
      </c>
      <c r="O12" s="851">
        <v>0.4</v>
      </c>
      <c r="P12" s="468">
        <f>N12+O12</f>
        <v>-0.60000000000000087</v>
      </c>
      <c r="Q12" s="469">
        <f t="shared" si="7"/>
        <v>1.6107284253842212E-3</v>
      </c>
      <c r="R12" s="467">
        <f>$F$36*P12</f>
        <v>-11.896745230078583</v>
      </c>
      <c r="S12" s="470">
        <f>$G$24/100*R12</f>
        <v>-6.739067518776312</v>
      </c>
      <c r="U12" s="414">
        <f t="shared" si="8"/>
        <v>0.999</v>
      </c>
      <c r="V12" s="415">
        <f t="shared" si="11"/>
        <v>9.6326601294456345E-4</v>
      </c>
      <c r="W12" s="414">
        <f t="shared" si="12"/>
        <v>0.9784602504104436</v>
      </c>
      <c r="X12" s="416">
        <f t="shared" si="9"/>
        <v>12.842680000000012</v>
      </c>
      <c r="Y12" s="417">
        <f t="shared" si="4"/>
        <v>21.197897665612288</v>
      </c>
      <c r="Z12" s="418">
        <f t="shared" si="5"/>
        <v>2.4534603779643852E-4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9.4</v>
      </c>
      <c r="E14" s="474">
        <f>D14</f>
        <v>9.4</v>
      </c>
      <c r="F14" s="457">
        <f t="shared" si="13"/>
        <v>4.4152184124001872</v>
      </c>
      <c r="G14" s="475">
        <f t="shared" si="14"/>
        <v>95.584781587599807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6</v>
      </c>
      <c r="E15" s="462">
        <f>D15</f>
        <v>6</v>
      </c>
      <c r="F15" s="479">
        <f t="shared" si="13"/>
        <v>2.8182245185533112</v>
      </c>
      <c r="G15" s="480">
        <f t="shared" si="14"/>
        <v>92.766557069046499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631</v>
      </c>
      <c r="E16" s="485">
        <f>D16-C16</f>
        <v>0.60000000000002274</v>
      </c>
      <c r="F16" s="457">
        <f t="shared" si="13"/>
        <v>0.28182245185534177</v>
      </c>
      <c r="G16" s="463">
        <f t="shared" si="14"/>
        <v>92.484734617191151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525.9</v>
      </c>
      <c r="E17" s="487">
        <f t="shared" ref="E17:E24" si="15">D17-C17</f>
        <v>6.6000000000000227</v>
      </c>
      <c r="F17" s="457">
        <f t="shared" si="13"/>
        <v>3.1000469704086528</v>
      </c>
      <c r="G17" s="475">
        <f t="shared" si="14"/>
        <v>89.384687646782496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509.5</v>
      </c>
      <c r="E18" s="488">
        <f t="shared" si="15"/>
        <v>3.3000000000000114</v>
      </c>
      <c r="F18" s="457">
        <f t="shared" si="13"/>
        <v>1.5500234852043264</v>
      </c>
      <c r="G18" s="475">
        <f t="shared" si="14"/>
        <v>87.834664161578175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389.6</v>
      </c>
      <c r="E19" s="487">
        <f t="shared" si="15"/>
        <v>5.8000000000000114</v>
      </c>
      <c r="F19" s="457">
        <f t="shared" si="13"/>
        <v>2.724283701268206</v>
      </c>
      <c r="G19" s="475">
        <f t="shared" si="14"/>
        <v>85.110380460309969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391.7</v>
      </c>
      <c r="E20" s="488">
        <f t="shared" si="15"/>
        <v>15.5</v>
      </c>
      <c r="F20" s="457">
        <f t="shared" si="13"/>
        <v>7.2804133395960537</v>
      </c>
      <c r="G20" s="475">
        <f t="shared" si="14"/>
        <v>77.829967120713917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351.2</v>
      </c>
      <c r="E21" s="487">
        <f t="shared" si="15"/>
        <v>20.399999999999977</v>
      </c>
      <c r="F21" s="457">
        <f t="shared" si="13"/>
        <v>9.5819633630812451</v>
      </c>
      <c r="G21" s="475">
        <f t="shared" si="14"/>
        <v>68.248003757632674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346</v>
      </c>
      <c r="E22" s="488">
        <f t="shared" si="15"/>
        <v>19.899999999999977</v>
      </c>
      <c r="F22" s="457">
        <f t="shared" si="13"/>
        <v>9.3471113198684694</v>
      </c>
      <c r="G22" s="475">
        <f t="shared" si="14"/>
        <v>58.900892437764206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308</v>
      </c>
      <c r="E23" s="487">
        <f t="shared" si="15"/>
        <v>3.6000000000000227</v>
      </c>
      <c r="F23" s="457">
        <f t="shared" si="13"/>
        <v>1.6909347111319972</v>
      </c>
      <c r="G23" s="490">
        <f t="shared" si="14"/>
        <v>57.209957726632211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314.89999999999998</v>
      </c>
      <c r="E24" s="488">
        <f t="shared" si="15"/>
        <v>1.1999999999999886</v>
      </c>
      <c r="F24" s="492">
        <f t="shared" si="13"/>
        <v>0.5636449037106569</v>
      </c>
      <c r="G24" s="493">
        <f t="shared" si="14"/>
        <v>56.646312822921551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367.5</v>
      </c>
      <c r="E25" s="496">
        <f>D25-C25+(G6-C26)</f>
        <v>120.60000000000001</v>
      </c>
      <c r="F25" s="457">
        <f t="shared" si="13"/>
        <v>56.646312822921551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92.8</v>
      </c>
      <c r="D26" s="498" t="s">
        <v>19</v>
      </c>
      <c r="E26" s="499">
        <f>SUM(E12:E25)</f>
        <v>212.90000000000003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0.49999999999997158</v>
      </c>
      <c r="F27" s="505">
        <f>IF((E27/G6*100)&gt;1,"Fehler zu groß",(E27/G6*100))</f>
        <v>0.23430178069351995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>
        <v>8.1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19.827908716797609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X36" s="116"/>
      <c r="Y36" s="116"/>
      <c r="Z36" s="116"/>
    </row>
    <row r="37" spans="1:26" x14ac:dyDescent="0.2">
      <c r="W37" s="839">
        <v>3.0039999999999998E-4</v>
      </c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1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141</v>
      </c>
      <c r="D3" s="385" t="s">
        <v>25</v>
      </c>
      <c r="E3" s="387">
        <v>40028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K4" s="372">
        <v>21</v>
      </c>
      <c r="L4" s="409">
        <v>1.0149999999999999</v>
      </c>
      <c r="M4" s="407">
        <f t="shared" ref="M4:M10" si="0">(L4-1)*1000</f>
        <v>14.999999999999902</v>
      </c>
      <c r="N4" s="407">
        <f>M4+$G$33</f>
        <v>16.499999999999847</v>
      </c>
      <c r="O4" s="410">
        <v>0.18</v>
      </c>
      <c r="P4" s="411">
        <f t="shared" ref="P4:P10" si="1">N4+O4</f>
        <v>16.679999999999847</v>
      </c>
      <c r="Q4" s="412">
        <f>((18.35*V4/($F$34-W4))*Z4)^0.5</f>
        <v>7.0996137111629637E-2</v>
      </c>
      <c r="R4" s="407">
        <f t="shared" ref="R4:R10" si="2">$F$36*P4</f>
        <v>72.796442687746364</v>
      </c>
      <c r="S4" s="413">
        <f t="shared" ref="S4:S10" si="3">$G$24/100*R4</f>
        <v>33.532699730536436</v>
      </c>
      <c r="U4" s="414">
        <f>1+0.001*N4</f>
        <v>1.0164999999999997</v>
      </c>
      <c r="V4" s="415">
        <f t="shared" ref="V4:V11" si="4">0.00178/(1+0.0337*K5+0.00022*K5^2)</f>
        <v>9.863025843344119E-4</v>
      </c>
      <c r="W4" s="414">
        <f t="shared" ref="W4:W11" si="5">1/(1+((2.31*K5-2)^2-182)*0.00001)</f>
        <v>0.98057308124835096</v>
      </c>
      <c r="X4" s="416">
        <f>4142.8*(1.03-U4)/10</f>
        <v>5.5927800000001202</v>
      </c>
      <c r="Y4" s="417">
        <f t="shared" ref="Y4:Y12" si="6">X4+$AB$5+0.5*($AC$5-$AD$5/$AE$5)</f>
        <v>13.947997665612398</v>
      </c>
      <c r="Z4" s="418">
        <f t="shared" ref="Z4:Z12" si="7">Y4/I4</f>
        <v>0.46493325552041326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/>
      <c r="F5" s="424"/>
      <c r="G5" s="425"/>
      <c r="I5" s="406">
        <f>J5*60</f>
        <v>60</v>
      </c>
      <c r="J5" s="426">
        <v>1</v>
      </c>
      <c r="K5" s="408">
        <v>21</v>
      </c>
      <c r="L5" s="409">
        <v>1.01</v>
      </c>
      <c r="M5" s="407">
        <f t="shared" si="0"/>
        <v>10.000000000000009</v>
      </c>
      <c r="N5" s="407">
        <f t="shared" ref="N5:N12" si="8">M5+$G$33</f>
        <v>11.499999999999954</v>
      </c>
      <c r="O5" s="410">
        <v>0.18</v>
      </c>
      <c r="P5" s="411">
        <f t="shared" si="1"/>
        <v>11.679999999999954</v>
      </c>
      <c r="Q5" s="412">
        <f t="shared" ref="Q5:Q12" si="9">((18.35*V5/($F$34-W5))*Z5)^0.5</f>
        <v>5.3800570365150478E-2</v>
      </c>
      <c r="R5" s="407">
        <f t="shared" si="2"/>
        <v>50.97496706192338</v>
      </c>
      <c r="S5" s="413">
        <f t="shared" si="3"/>
        <v>23.480931226179113</v>
      </c>
      <c r="U5" s="414">
        <f t="shared" ref="U5:U12" si="10">1+0.001*N5</f>
        <v>1.0114999999999998</v>
      </c>
      <c r="V5" s="415">
        <f t="shared" si="4"/>
        <v>9.863025843344119E-4</v>
      </c>
      <c r="W5" s="414">
        <f t="shared" si="5"/>
        <v>0.98057308124835096</v>
      </c>
      <c r="X5" s="416">
        <f t="shared" ref="X5:X12" si="11">4142.8*(1.03-U5)/10</f>
        <v>7.6641800000000755</v>
      </c>
      <c r="Y5" s="417">
        <f t="shared" si="6"/>
        <v>16.019397665612352</v>
      </c>
      <c r="Z5" s="418">
        <f t="shared" si="7"/>
        <v>0.26698996109353923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359.5</v>
      </c>
      <c r="I6" s="406">
        <f t="shared" ref="I6:I12" si="12">J6*60</f>
        <v>120</v>
      </c>
      <c r="J6" s="426">
        <v>2</v>
      </c>
      <c r="K6" s="408">
        <v>21</v>
      </c>
      <c r="L6" s="409">
        <v>1.0065</v>
      </c>
      <c r="M6" s="407">
        <f t="shared" si="0"/>
        <v>6.4999999999999503</v>
      </c>
      <c r="N6" s="407">
        <f t="shared" si="8"/>
        <v>7.9999999999998961</v>
      </c>
      <c r="O6" s="410">
        <v>0.18</v>
      </c>
      <c r="P6" s="411">
        <f t="shared" si="1"/>
        <v>8.1799999999998967</v>
      </c>
      <c r="Q6" s="412">
        <f t="shared" si="9"/>
        <v>3.9727158922302108E-2</v>
      </c>
      <c r="R6" s="407">
        <f t="shared" si="2"/>
        <v>35.699934123846717</v>
      </c>
      <c r="S6" s="413">
        <f t="shared" si="3"/>
        <v>16.444693273128724</v>
      </c>
      <c r="U6" s="414">
        <f t="shared" si="10"/>
        <v>1.008</v>
      </c>
      <c r="V6" s="415">
        <f t="shared" si="4"/>
        <v>9.863025843344119E-4</v>
      </c>
      <c r="W6" s="414">
        <f t="shared" si="5"/>
        <v>0.98057308124835096</v>
      </c>
      <c r="X6" s="416">
        <f t="shared" si="11"/>
        <v>9.1141600000000089</v>
      </c>
      <c r="Y6" s="417">
        <f t="shared" si="6"/>
        <v>17.469377665612285</v>
      </c>
      <c r="Z6" s="418">
        <f t="shared" si="7"/>
        <v>0.1455781472134357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>
        <v>21</v>
      </c>
      <c r="L7" s="409">
        <v>1.0035000000000001</v>
      </c>
      <c r="M7" s="407">
        <f t="shared" si="0"/>
        <v>3.5000000000000586</v>
      </c>
      <c r="N7" s="407">
        <f t="shared" si="8"/>
        <v>5.0000000000000044</v>
      </c>
      <c r="O7" s="410">
        <v>0.18</v>
      </c>
      <c r="P7" s="411">
        <f t="shared" si="1"/>
        <v>5.1800000000000042</v>
      </c>
      <c r="Q7" s="412">
        <f t="shared" si="9"/>
        <v>2.6004075409877658E-2</v>
      </c>
      <c r="R7" s="407">
        <f t="shared" si="2"/>
        <v>22.607048748353115</v>
      </c>
      <c r="S7" s="413">
        <f t="shared" si="3"/>
        <v>10.413632170514417</v>
      </c>
      <c r="U7" s="414">
        <f t="shared" si="10"/>
        <v>1.0049999999999999</v>
      </c>
      <c r="V7" s="415">
        <f t="shared" si="4"/>
        <v>9.863025843344119E-4</v>
      </c>
      <c r="W7" s="414">
        <f t="shared" si="5"/>
        <v>0.98057308124835096</v>
      </c>
      <c r="X7" s="416">
        <f t="shared" si="11"/>
        <v>10.357000000000056</v>
      </c>
      <c r="Y7" s="417">
        <f t="shared" si="6"/>
        <v>18.712217665612332</v>
      </c>
      <c r="Z7" s="418">
        <f t="shared" si="7"/>
        <v>6.2374058885374443E-2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>
        <v>21</v>
      </c>
      <c r="L8" s="409">
        <v>1.002</v>
      </c>
      <c r="M8" s="407">
        <f t="shared" si="0"/>
        <v>2.0000000000000018</v>
      </c>
      <c r="N8" s="407">
        <f t="shared" si="8"/>
        <v>3.4999999999999476</v>
      </c>
      <c r="O8" s="410">
        <v>0.18</v>
      </c>
      <c r="P8" s="411">
        <f t="shared" si="1"/>
        <v>3.6799999999999478</v>
      </c>
      <c r="Q8" s="412">
        <f t="shared" si="9"/>
        <v>1.5260717279738593E-2</v>
      </c>
      <c r="R8" s="407">
        <f t="shared" si="2"/>
        <v>16.060606060605831</v>
      </c>
      <c r="S8" s="413">
        <f t="shared" si="3"/>
        <v>7.3981016192070417</v>
      </c>
      <c r="U8" s="414">
        <f t="shared" si="10"/>
        <v>1.0034999999999998</v>
      </c>
      <c r="V8" s="415">
        <f t="shared" si="4"/>
        <v>9.863025843344119E-4</v>
      </c>
      <c r="W8" s="414">
        <f t="shared" si="5"/>
        <v>0.98057308124835096</v>
      </c>
      <c r="X8" s="416">
        <f t="shared" si="11"/>
        <v>10.97842000000008</v>
      </c>
      <c r="Y8" s="417">
        <f t="shared" si="6"/>
        <v>19.333637665612358</v>
      </c>
      <c r="Z8" s="418">
        <f t="shared" si="7"/>
        <v>2.1481819628458174E-2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>
        <v>21</v>
      </c>
      <c r="L9" s="409">
        <v>1.00051</v>
      </c>
      <c r="M9" s="407">
        <f t="shared" si="0"/>
        <v>0.51000000000001044</v>
      </c>
      <c r="N9" s="407">
        <f t="shared" si="8"/>
        <v>2.0099999999999563</v>
      </c>
      <c r="O9" s="410">
        <v>0.18</v>
      </c>
      <c r="P9" s="411">
        <f t="shared" si="1"/>
        <v>2.1899999999999564</v>
      </c>
      <c r="Q9" s="412">
        <f t="shared" si="9"/>
        <v>8.9503277604688625E-3</v>
      </c>
      <c r="R9" s="407">
        <f t="shared" si="2"/>
        <v>9.5578063241104818</v>
      </c>
      <c r="S9" s="413">
        <f t="shared" si="3"/>
        <v>4.4026746049085137</v>
      </c>
      <c r="U9" s="414">
        <f t="shared" si="10"/>
        <v>1.0020099999999998</v>
      </c>
      <c r="V9" s="415">
        <f t="shared" si="4"/>
        <v>9.863025843344119E-4</v>
      </c>
      <c r="W9" s="414">
        <f t="shared" si="5"/>
        <v>0.98057308124835096</v>
      </c>
      <c r="X9" s="416">
        <f t="shared" si="11"/>
        <v>11.595697200000076</v>
      </c>
      <c r="Y9" s="417">
        <f t="shared" si="6"/>
        <v>19.950914865612354</v>
      </c>
      <c r="Z9" s="418">
        <f t="shared" si="7"/>
        <v>7.3892277280045758E-3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>
        <v>21</v>
      </c>
      <c r="L10" s="409">
        <v>0.99950000000000006</v>
      </c>
      <c r="M10" s="407">
        <f t="shared" si="0"/>
        <v>-0.49999999999994493</v>
      </c>
      <c r="N10" s="407">
        <f t="shared" si="8"/>
        <v>1.0000000000000009</v>
      </c>
      <c r="O10" s="410">
        <v>0.18</v>
      </c>
      <c r="P10" s="411">
        <f t="shared" si="1"/>
        <v>1.1800000000000008</v>
      </c>
      <c r="Q10" s="412">
        <f t="shared" si="9"/>
        <v>5.5381105329315658E-3</v>
      </c>
      <c r="R10" s="407">
        <f t="shared" si="2"/>
        <v>5.1498682476943385</v>
      </c>
      <c r="S10" s="413">
        <f t="shared" si="3"/>
        <v>2.3722173670283806</v>
      </c>
      <c r="U10" s="414">
        <f t="shared" si="10"/>
        <v>1.0009999999999999</v>
      </c>
      <c r="V10" s="415">
        <f t="shared" si="4"/>
        <v>9.863025843344119E-4</v>
      </c>
      <c r="W10" s="414">
        <f t="shared" si="5"/>
        <v>0.98057308124835096</v>
      </c>
      <c r="X10" s="416">
        <f t="shared" si="11"/>
        <v>12.014120000000057</v>
      </c>
      <c r="Y10" s="417">
        <f t="shared" si="6"/>
        <v>20.369337665612335</v>
      </c>
      <c r="Z10" s="418">
        <f t="shared" si="7"/>
        <v>2.829074675779491E-3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>
        <v>21</v>
      </c>
      <c r="L11" s="409">
        <v>0.999</v>
      </c>
      <c r="M11" s="407">
        <f>(L11-1)*1000</f>
        <v>-1.0000000000000009</v>
      </c>
      <c r="N11" s="407">
        <f t="shared" si="8"/>
        <v>0.49999999999994493</v>
      </c>
      <c r="O11" s="410">
        <v>0.18</v>
      </c>
      <c r="P11" s="411">
        <f>N11+O11</f>
        <v>0.67999999999994487</v>
      </c>
      <c r="Q11" s="412">
        <f t="shared" si="9"/>
        <v>3.2136461448360192E-3</v>
      </c>
      <c r="R11" s="407">
        <f>$F$36*P11</f>
        <v>2.967720685111749</v>
      </c>
      <c r="S11" s="413">
        <f>$G$24/100*R11</f>
        <v>1.3670405165925144</v>
      </c>
      <c r="U11" s="414">
        <f t="shared" si="10"/>
        <v>1.0004999999999999</v>
      </c>
      <c r="V11" s="415">
        <f t="shared" si="4"/>
        <v>9.863025843344119E-4</v>
      </c>
      <c r="W11" s="414">
        <f t="shared" si="5"/>
        <v>0.98057308124835096</v>
      </c>
      <c r="X11" s="416">
        <f t="shared" si="11"/>
        <v>12.221260000000035</v>
      </c>
      <c r="Y11" s="417">
        <f t="shared" si="6"/>
        <v>20.576477665612309</v>
      </c>
      <c r="Z11" s="418">
        <f t="shared" si="7"/>
        <v>9.5261470674131061E-4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>
        <v>21</v>
      </c>
      <c r="L12" s="409">
        <v>0.99750000000000005</v>
      </c>
      <c r="M12" s="467">
        <f>(L12-1)*1000</f>
        <v>-2.4999999999999467</v>
      </c>
      <c r="N12" s="467">
        <f t="shared" si="8"/>
        <v>-1.0000000000000009</v>
      </c>
      <c r="O12" s="410">
        <v>0.18</v>
      </c>
      <c r="P12" s="468">
        <f>N12+O12</f>
        <v>-0.82000000000000095</v>
      </c>
      <c r="Q12" s="469" t="e">
        <f t="shared" si="9"/>
        <v>#REF!</v>
      </c>
      <c r="R12" s="467">
        <f>$F$36*P12</f>
        <v>-3.5787220026350504</v>
      </c>
      <c r="S12" s="470">
        <f>$G$24/100*R12</f>
        <v>-1.6484900347146381</v>
      </c>
      <c r="U12" s="414">
        <f t="shared" si="10"/>
        <v>0.999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1"/>
        <v>12.842680000000012</v>
      </c>
      <c r="Y12" s="417">
        <f t="shared" si="6"/>
        <v>21.197897665612288</v>
      </c>
      <c r="Z12" s="418">
        <f t="shared" si="7"/>
        <v>2.4534603779643852E-4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18</v>
      </c>
      <c r="E14" s="474">
        <f>D14</f>
        <v>18</v>
      </c>
      <c r="F14" s="457">
        <f t="shared" si="13"/>
        <v>5.0251256281407031</v>
      </c>
      <c r="G14" s="475">
        <f t="shared" si="14"/>
        <v>94.9748743718593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11</v>
      </c>
      <c r="E15" s="462">
        <f>D15</f>
        <v>11</v>
      </c>
      <c r="F15" s="479">
        <f t="shared" si="13"/>
        <v>3.0709101060859849</v>
      </c>
      <c r="G15" s="480">
        <f t="shared" si="14"/>
        <v>91.903964265773311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637.6</v>
      </c>
      <c r="E16" s="485">
        <f>D16-C16</f>
        <v>7.2000000000000455</v>
      </c>
      <c r="F16" s="457">
        <f t="shared" si="13"/>
        <v>2.0100502512562941</v>
      </c>
      <c r="G16" s="463">
        <f t="shared" si="14"/>
        <v>89.893914014517023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527.4</v>
      </c>
      <c r="E17" s="487">
        <f t="shared" ref="E17:E24" si="15">D17-C17</f>
        <v>8.1000000000000227</v>
      </c>
      <c r="F17" s="457">
        <f t="shared" si="13"/>
        <v>2.2613065326633226</v>
      </c>
      <c r="G17" s="475">
        <f t="shared" si="14"/>
        <v>87.632607481853697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513.79999999999995</v>
      </c>
      <c r="E18" s="488">
        <f t="shared" si="15"/>
        <v>7.5999999999999659</v>
      </c>
      <c r="F18" s="457">
        <f t="shared" si="13"/>
        <v>2.1217197096593985</v>
      </c>
      <c r="G18" s="475">
        <f t="shared" si="14"/>
        <v>85.510887772194295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391</v>
      </c>
      <c r="E19" s="487">
        <f t="shared" si="15"/>
        <v>7.1999999999999886</v>
      </c>
      <c r="F19" s="457">
        <f t="shared" si="13"/>
        <v>2.0100502512562781</v>
      </c>
      <c r="G19" s="475">
        <f t="shared" si="14"/>
        <v>83.50083752093802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387.6</v>
      </c>
      <c r="E20" s="488">
        <f t="shared" si="15"/>
        <v>11.400000000000034</v>
      </c>
      <c r="F20" s="457">
        <f t="shared" si="13"/>
        <v>3.1825795644891213</v>
      </c>
      <c r="G20" s="475">
        <f t="shared" si="14"/>
        <v>80.318257956448903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346.6</v>
      </c>
      <c r="E21" s="487">
        <f t="shared" si="15"/>
        <v>15.800000000000011</v>
      </c>
      <c r="F21" s="457">
        <f t="shared" si="13"/>
        <v>4.4109436069235093</v>
      </c>
      <c r="G21" s="475">
        <f t="shared" si="14"/>
        <v>75.907314349525393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374.2</v>
      </c>
      <c r="E22" s="488">
        <f t="shared" si="15"/>
        <v>48.099999999999966</v>
      </c>
      <c r="F22" s="457">
        <f t="shared" si="13"/>
        <v>13.42825237297598</v>
      </c>
      <c r="G22" s="475">
        <f t="shared" si="14"/>
        <v>62.479061976549417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354.2</v>
      </c>
      <c r="E23" s="487">
        <f t="shared" si="15"/>
        <v>49.800000000000011</v>
      </c>
      <c r="F23" s="457">
        <f t="shared" si="13"/>
        <v>13.90284757118928</v>
      </c>
      <c r="G23" s="490">
        <f t="shared" si="14"/>
        <v>48.576214405360133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322.7</v>
      </c>
      <c r="E24" s="488">
        <f t="shared" si="15"/>
        <v>9</v>
      </c>
      <c r="F24" s="492">
        <f t="shared" si="13"/>
        <v>2.5125628140703515</v>
      </c>
      <c r="G24" s="493">
        <f t="shared" si="14"/>
        <v>46.063651591289783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368.1</v>
      </c>
      <c r="E25" s="496">
        <f>D25-C25+(G6-C26)</f>
        <v>165.00000000000003</v>
      </c>
      <c r="F25" s="457">
        <f t="shared" si="13"/>
        <v>46.063651591289783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195.1</v>
      </c>
      <c r="D26" s="498" t="s">
        <v>19</v>
      </c>
      <c r="E26" s="499">
        <f>SUM(E12:E25)</f>
        <v>358.20000000000005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1.2999999999999545</v>
      </c>
      <c r="F27" s="505">
        <f>IF((E27/G6*100)&gt;1,"Fehler zu groß",(E27/G6*100))</f>
        <v>0.36161335187759513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>
        <v>36.799999999999997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4.3642951251646904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U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142</v>
      </c>
      <c r="D3" s="385" t="s">
        <v>25</v>
      </c>
      <c r="E3" s="387">
        <v>40028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3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348</v>
      </c>
      <c r="F4" s="404"/>
      <c r="G4" s="405"/>
      <c r="H4" s="371"/>
      <c r="I4" s="406">
        <f>J4*60</f>
        <v>30</v>
      </c>
      <c r="J4" s="407">
        <v>0.5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 t="shared" ref="V4:V11" si="4">0.00178/(1+0.0337*K5+0.00022*K5^2)</f>
        <v>1.7799999999999999E-3</v>
      </c>
      <c r="W4" s="414">
        <f t="shared" ref="W4:W11" si="5">1/(1+((2.31*K5-2)^2-182)*0.00001)</f>
        <v>1.0017831740498087</v>
      </c>
      <c r="X4" s="416">
        <f>4142.8*(1.03-U4)/10</f>
        <v>426.08698000000015</v>
      </c>
      <c r="Y4" s="417" t="e">
        <f t="shared" ref="Y4:Y12" si="6">X4+$AB$5+0.5*($AC$5-$AD$5/$AE$5)</f>
        <v>#DIV/0!</v>
      </c>
      <c r="Z4" s="418" t="e">
        <f t="shared" ref="Z4:Z12" si="7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8">M5+$G$33</f>
        <v>-998.5</v>
      </c>
      <c r="O5" s="410"/>
      <c r="P5" s="411">
        <f t="shared" si="1"/>
        <v>-998.5</v>
      </c>
      <c r="Q5" s="412" t="e">
        <f t="shared" ref="Q5:Q12" si="9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10">1+0.001*N5</f>
        <v>1.4999999999999458E-3</v>
      </c>
      <c r="V5" s="415">
        <f t="shared" si="4"/>
        <v>1.7799999999999999E-3</v>
      </c>
      <c r="W5" s="414">
        <f t="shared" si="5"/>
        <v>1.0017831740498087</v>
      </c>
      <c r="X5" s="416">
        <f t="shared" ref="X5:X12" si="11">4142.8*(1.03-U5)/10</f>
        <v>426.08698000000015</v>
      </c>
      <c r="Y5" s="417" t="e">
        <f t="shared" si="6"/>
        <v>#DIV/0!</v>
      </c>
      <c r="Z5" s="418" t="e">
        <f t="shared" si="7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319.2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8"/>
        <v>-998.5</v>
      </c>
      <c r="O6" s="410"/>
      <c r="P6" s="411">
        <f t="shared" si="1"/>
        <v>-998.5</v>
      </c>
      <c r="Q6" s="412" t="e">
        <f t="shared" si="9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10"/>
        <v>1.4999999999999458E-3</v>
      </c>
      <c r="V6" s="415">
        <f t="shared" si="4"/>
        <v>1.7799999999999999E-3</v>
      </c>
      <c r="W6" s="414">
        <f t="shared" si="5"/>
        <v>1.0017831740498087</v>
      </c>
      <c r="X6" s="416">
        <f t="shared" si="11"/>
        <v>426.08698000000015</v>
      </c>
      <c r="Y6" s="417" t="e">
        <f t="shared" si="6"/>
        <v>#DIV/0!</v>
      </c>
      <c r="Z6" s="418" t="e">
        <f t="shared" si="7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/>
      <c r="L7" s="409"/>
      <c r="M7" s="407">
        <f t="shared" si="0"/>
        <v>-1000</v>
      </c>
      <c r="N7" s="407">
        <f t="shared" si="8"/>
        <v>-998.5</v>
      </c>
      <c r="O7" s="410"/>
      <c r="P7" s="411">
        <f t="shared" si="1"/>
        <v>-998.5</v>
      </c>
      <c r="Q7" s="412" t="e">
        <f t="shared" si="9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10"/>
        <v>1.4999999999999458E-3</v>
      </c>
      <c r="V7" s="415">
        <f t="shared" si="4"/>
        <v>1.7799999999999999E-3</v>
      </c>
      <c r="W7" s="414">
        <f t="shared" si="5"/>
        <v>1.0017831740498087</v>
      </c>
      <c r="X7" s="416">
        <f t="shared" si="11"/>
        <v>426.08698000000015</v>
      </c>
      <c r="Y7" s="417" t="e">
        <f t="shared" si="6"/>
        <v>#DIV/0!</v>
      </c>
      <c r="Z7" s="418" t="e">
        <f t="shared" si="7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/>
      <c r="L8" s="409"/>
      <c r="M8" s="407">
        <f t="shared" si="0"/>
        <v>-1000</v>
      </c>
      <c r="N8" s="407">
        <f t="shared" si="8"/>
        <v>-998.5</v>
      </c>
      <c r="O8" s="410"/>
      <c r="P8" s="411">
        <f t="shared" si="1"/>
        <v>-998.5</v>
      </c>
      <c r="Q8" s="412" t="e">
        <f t="shared" si="9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10"/>
        <v>1.4999999999999458E-3</v>
      </c>
      <c r="V8" s="415">
        <f t="shared" si="4"/>
        <v>1.7799999999999999E-3</v>
      </c>
      <c r="W8" s="414">
        <f t="shared" si="5"/>
        <v>1.0017831740498087</v>
      </c>
      <c r="X8" s="416">
        <f t="shared" si="11"/>
        <v>426.08698000000015</v>
      </c>
      <c r="Y8" s="417" t="e">
        <f t="shared" si="6"/>
        <v>#DIV/0!</v>
      </c>
      <c r="Z8" s="418" t="e">
        <f t="shared" si="7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8"/>
        <v>-998.5</v>
      </c>
      <c r="O9" s="410"/>
      <c r="P9" s="411">
        <f t="shared" si="1"/>
        <v>-998.5</v>
      </c>
      <c r="Q9" s="412" t="e">
        <f t="shared" si="9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10"/>
        <v>1.4999999999999458E-3</v>
      </c>
      <c r="V9" s="415">
        <f t="shared" si="4"/>
        <v>1.7799999999999999E-3</v>
      </c>
      <c r="W9" s="414">
        <f t="shared" si="5"/>
        <v>1.0017831740498087</v>
      </c>
      <c r="X9" s="416">
        <f t="shared" si="11"/>
        <v>426.08698000000015</v>
      </c>
      <c r="Y9" s="417" t="e">
        <f t="shared" si="6"/>
        <v>#DIV/0!</v>
      </c>
      <c r="Z9" s="418" t="e">
        <f t="shared" si="7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8"/>
        <v>-998.5</v>
      </c>
      <c r="O10" s="410"/>
      <c r="P10" s="411">
        <f t="shared" si="1"/>
        <v>-998.5</v>
      </c>
      <c r="Q10" s="412" t="e">
        <f t="shared" si="9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10"/>
        <v>1.4999999999999458E-3</v>
      </c>
      <c r="V10" s="415">
        <f t="shared" si="4"/>
        <v>1.7799999999999999E-3</v>
      </c>
      <c r="W10" s="414">
        <f t="shared" si="5"/>
        <v>1.0017831740498087</v>
      </c>
      <c r="X10" s="416">
        <f t="shared" si="11"/>
        <v>426.08698000000015</v>
      </c>
      <c r="Y10" s="417" t="e">
        <f t="shared" si="6"/>
        <v>#DIV/0!</v>
      </c>
      <c r="Z10" s="418" t="e">
        <f t="shared" si="7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8"/>
        <v>-998.5</v>
      </c>
      <c r="O11" s="410"/>
      <c r="P11" s="411">
        <f>N11+O11</f>
        <v>-998.5</v>
      </c>
      <c r="Q11" s="412" t="e">
        <f t="shared" si="9"/>
        <v>#DIV/0!</v>
      </c>
      <c r="R11" s="407" t="e">
        <f>$F$36*P11</f>
        <v>#DIV/0!</v>
      </c>
      <c r="S11" s="413" t="e">
        <f>$G$24/100*R11</f>
        <v>#DIV/0!</v>
      </c>
      <c r="U11" s="414">
        <f t="shared" si="10"/>
        <v>1.4999999999999458E-3</v>
      </c>
      <c r="V11" s="415">
        <f t="shared" si="4"/>
        <v>1.7799999999999999E-3</v>
      </c>
      <c r="W11" s="414">
        <f t="shared" si="5"/>
        <v>1.0017831740498087</v>
      </c>
      <c r="X11" s="416">
        <f t="shared" si="11"/>
        <v>426.08698000000015</v>
      </c>
      <c r="Y11" s="417" t="e">
        <f t="shared" si="6"/>
        <v>#DIV/0!</v>
      </c>
      <c r="Z11" s="418" t="e">
        <f t="shared" si="7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/>
      <c r="L12" s="409"/>
      <c r="M12" s="467">
        <f>(L12-1)*1000</f>
        <v>-1000</v>
      </c>
      <c r="N12" s="467">
        <f t="shared" si="8"/>
        <v>-998.5</v>
      </c>
      <c r="O12" s="410"/>
      <c r="P12" s="468">
        <f>N12+O12</f>
        <v>-998.5</v>
      </c>
      <c r="Q12" s="469" t="e">
        <f t="shared" si="9"/>
        <v>#REF!</v>
      </c>
      <c r="R12" s="467" t="e">
        <f>$F$36*P12</f>
        <v>#DIV/0!</v>
      </c>
      <c r="S12" s="470" t="e">
        <f>$G$24/100*R12</f>
        <v>#DIV/0!</v>
      </c>
      <c r="U12" s="414">
        <f t="shared" si="10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1"/>
        <v>426.08698000000015</v>
      </c>
      <c r="Y12" s="417" t="e">
        <f t="shared" si="6"/>
        <v>#DIV/0!</v>
      </c>
      <c r="Z12" s="418" t="e">
        <f t="shared" si="7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60.6</v>
      </c>
      <c r="E13" s="474">
        <f>D13</f>
        <v>60.6</v>
      </c>
      <c r="F13" s="457">
        <f t="shared" si="13"/>
        <v>19.074598677998107</v>
      </c>
      <c r="G13" s="475">
        <f t="shared" si="14"/>
        <v>80.925401322001889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35.6</v>
      </c>
      <c r="E14" s="474">
        <f>D14</f>
        <v>35.6</v>
      </c>
      <c r="F14" s="457">
        <f t="shared" si="13"/>
        <v>11.205539817437831</v>
      </c>
      <c r="G14" s="475">
        <f t="shared" si="14"/>
        <v>69.719861504564051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56.5</v>
      </c>
      <c r="E15" s="462">
        <f>D15</f>
        <v>56.5</v>
      </c>
      <c r="F15" s="479">
        <f t="shared" si="13"/>
        <v>17.78407302486622</v>
      </c>
      <c r="G15" s="480">
        <f t="shared" si="14"/>
        <v>51.935788479697834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633.4</v>
      </c>
      <c r="E16" s="485">
        <f>D16-C16</f>
        <v>3</v>
      </c>
      <c r="F16" s="457">
        <f t="shared" si="13"/>
        <v>0.94428706326723288</v>
      </c>
      <c r="G16" s="463">
        <f t="shared" si="14"/>
        <v>50.991501416430602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545.20000000000005</v>
      </c>
      <c r="E17" s="487">
        <f t="shared" ref="E17:E24" si="15">D17-C17</f>
        <v>25.900000000000091</v>
      </c>
      <c r="F17" s="457">
        <f t="shared" si="13"/>
        <v>8.152344979540473</v>
      </c>
      <c r="G17" s="475">
        <f t="shared" si="14"/>
        <v>42.839156436890129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531.4</v>
      </c>
      <c r="E18" s="488">
        <f t="shared" si="15"/>
        <v>25.199999999999989</v>
      </c>
      <c r="F18" s="457">
        <f t="shared" si="13"/>
        <v>7.9320113314447536</v>
      </c>
      <c r="G18" s="475">
        <f t="shared" si="14"/>
        <v>34.907145105445373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396.8</v>
      </c>
      <c r="E19" s="487">
        <f t="shared" si="15"/>
        <v>13</v>
      </c>
      <c r="F19" s="457">
        <f t="shared" si="13"/>
        <v>4.0919106074913429</v>
      </c>
      <c r="G19" s="475">
        <f t="shared" si="14"/>
        <v>30.81523449795403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386.9</v>
      </c>
      <c r="E20" s="488">
        <f t="shared" si="15"/>
        <v>10.699999999999989</v>
      </c>
      <c r="F20" s="457">
        <f t="shared" si="13"/>
        <v>3.367957192319794</v>
      </c>
      <c r="G20" s="475">
        <f t="shared" si="14"/>
        <v>27.447277305634238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14.550599999999999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345.6</v>
      </c>
      <c r="E21" s="487">
        <f t="shared" si="15"/>
        <v>14.800000000000011</v>
      </c>
      <c r="F21" s="457">
        <f t="shared" si="13"/>
        <v>4.6584828454516867</v>
      </c>
      <c r="G21" s="475">
        <f t="shared" si="14"/>
        <v>22.788794460182551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7.1499999999999994E-2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350.6</v>
      </c>
      <c r="E22" s="488">
        <f t="shared" si="15"/>
        <v>24.5</v>
      </c>
      <c r="F22" s="457">
        <f t="shared" si="13"/>
        <v>7.7116776833490688</v>
      </c>
      <c r="G22" s="475">
        <f t="shared" si="14"/>
        <v>15.077116776833481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203.5048951048951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317</v>
      </c>
      <c r="E23" s="487">
        <f t="shared" si="15"/>
        <v>12.600000000000023</v>
      </c>
      <c r="F23" s="457">
        <f t="shared" si="13"/>
        <v>3.9660056657223857</v>
      </c>
      <c r="G23" s="490">
        <f t="shared" si="14"/>
        <v>11.111111111111097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317.8</v>
      </c>
      <c r="E24" s="488">
        <f t="shared" si="15"/>
        <v>4.1000000000000227</v>
      </c>
      <c r="F24" s="492">
        <f t="shared" si="13"/>
        <v>1.290525653131892</v>
      </c>
      <c r="G24" s="493">
        <f t="shared" si="14"/>
        <v>9.8205854579792042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6.1081162999999965E-5</v>
      </c>
      <c r="X24" s="116"/>
      <c r="Y24" s="116"/>
      <c r="Z24" s="116"/>
    </row>
    <row r="25" spans="1:26" ht="21.95" customHeight="1" thickBot="1" x14ac:dyDescent="0.3">
      <c r="A25" s="845"/>
      <c r="B25" s="476" t="s">
        <v>14</v>
      </c>
      <c r="C25" s="495">
        <v>367.5</v>
      </c>
      <c r="D25" s="455">
        <v>367.8</v>
      </c>
      <c r="E25" s="496">
        <f>D25-C25+(G6-C26)</f>
        <v>31.199999999999989</v>
      </c>
      <c r="F25" s="457">
        <f t="shared" si="13"/>
        <v>9.8205854579792202</v>
      </c>
      <c r="G25" s="463">
        <f>G24-F25</f>
        <v>-1.5987211554602254E-14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288.3</v>
      </c>
      <c r="D26" s="498" t="s">
        <v>19</v>
      </c>
      <c r="E26" s="499">
        <f>SUM(E12:E25)</f>
        <v>317.7000000000001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1.4999999999998863</v>
      </c>
      <c r="F27" s="505">
        <f>IF((E27/G6*100)&gt;1,"Fehler zu groß",(E27/G6*100))</f>
        <v>0.46992481203003961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4.3468439299999987E-6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4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4" t="s">
        <v>45</v>
      </c>
      <c r="B33" s="844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4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4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2.4439999999999998E-4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6" sqref="W36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143</v>
      </c>
      <c r="D3" s="385" t="s">
        <v>25</v>
      </c>
      <c r="E3" s="387">
        <v>40028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 t="shared" ref="V4:V11" si="4">0.00178/(1+0.0337*K5+0.00022*K5^2)</f>
        <v>1.7799999999999999E-3</v>
      </c>
      <c r="W4" s="414">
        <f t="shared" ref="W4:W11" si="5">1/(1+((2.31*K5-2)^2-182)*0.00001)</f>
        <v>1.0017831740498087</v>
      </c>
      <c r="X4" s="416">
        <f>4142.8*(1.03-U4)/10</f>
        <v>426.08698000000015</v>
      </c>
      <c r="Y4" s="417" t="e">
        <f t="shared" ref="Y4:Y12" si="6">X4+$AB$5+0.5*($AC$5-$AD$5/$AE$5)</f>
        <v>#DIV/0!</v>
      </c>
      <c r="Z4" s="418" t="e">
        <f t="shared" ref="Z4:Z12" si="7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8">M5+$G$33</f>
        <v>-998.5</v>
      </c>
      <c r="O5" s="410"/>
      <c r="P5" s="411">
        <f t="shared" si="1"/>
        <v>-998.5</v>
      </c>
      <c r="Q5" s="412" t="e">
        <f t="shared" ref="Q5:Q12" si="9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10">1+0.001*N5</f>
        <v>1.4999999999999458E-3</v>
      </c>
      <c r="V5" s="415">
        <f t="shared" si="4"/>
        <v>1.7799999999999999E-3</v>
      </c>
      <c r="W5" s="414">
        <f t="shared" si="5"/>
        <v>1.0017831740498087</v>
      </c>
      <c r="X5" s="416">
        <f t="shared" ref="X5:X12" si="11">4142.8*(1.03-U5)/10</f>
        <v>426.08698000000015</v>
      </c>
      <c r="Y5" s="417" t="e">
        <f t="shared" si="6"/>
        <v>#DIV/0!</v>
      </c>
      <c r="Z5" s="418" t="e">
        <f t="shared" si="7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174.5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8"/>
        <v>-998.5</v>
      </c>
      <c r="O6" s="410"/>
      <c r="P6" s="411">
        <f t="shared" si="1"/>
        <v>-998.5</v>
      </c>
      <c r="Q6" s="412" t="e">
        <f t="shared" si="9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10"/>
        <v>1.4999999999999458E-3</v>
      </c>
      <c r="V6" s="415">
        <f t="shared" si="4"/>
        <v>1.7799999999999999E-3</v>
      </c>
      <c r="W6" s="414">
        <f t="shared" si="5"/>
        <v>1.0017831740498087</v>
      </c>
      <c r="X6" s="416">
        <f t="shared" si="11"/>
        <v>426.08698000000015</v>
      </c>
      <c r="Y6" s="417" t="e">
        <f t="shared" si="6"/>
        <v>#DIV/0!</v>
      </c>
      <c r="Z6" s="418" t="e">
        <f t="shared" si="7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/>
      <c r="L7" s="409"/>
      <c r="M7" s="407">
        <f t="shared" si="0"/>
        <v>-1000</v>
      </c>
      <c r="N7" s="407">
        <f t="shared" si="8"/>
        <v>-998.5</v>
      </c>
      <c r="O7" s="410"/>
      <c r="P7" s="411">
        <f t="shared" si="1"/>
        <v>-998.5</v>
      </c>
      <c r="Q7" s="412" t="e">
        <f t="shared" si="9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10"/>
        <v>1.4999999999999458E-3</v>
      </c>
      <c r="V7" s="415">
        <f t="shared" si="4"/>
        <v>1.7799999999999999E-3</v>
      </c>
      <c r="W7" s="414">
        <f t="shared" si="5"/>
        <v>1.0017831740498087</v>
      </c>
      <c r="X7" s="416">
        <f t="shared" si="11"/>
        <v>426.08698000000015</v>
      </c>
      <c r="Y7" s="417" t="e">
        <f t="shared" si="6"/>
        <v>#DIV/0!</v>
      </c>
      <c r="Z7" s="418" t="e">
        <f t="shared" si="7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/>
      <c r="L8" s="409"/>
      <c r="M8" s="407">
        <f t="shared" si="0"/>
        <v>-1000</v>
      </c>
      <c r="N8" s="407">
        <f t="shared" si="8"/>
        <v>-998.5</v>
      </c>
      <c r="O8" s="410"/>
      <c r="P8" s="411">
        <f t="shared" si="1"/>
        <v>-998.5</v>
      </c>
      <c r="Q8" s="412" t="e">
        <f t="shared" si="9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10"/>
        <v>1.4999999999999458E-3</v>
      </c>
      <c r="V8" s="415">
        <f t="shared" si="4"/>
        <v>1.7799999999999999E-3</v>
      </c>
      <c r="W8" s="414">
        <f t="shared" si="5"/>
        <v>1.0017831740498087</v>
      </c>
      <c r="X8" s="416">
        <f t="shared" si="11"/>
        <v>426.08698000000015</v>
      </c>
      <c r="Y8" s="417" t="e">
        <f t="shared" si="6"/>
        <v>#DIV/0!</v>
      </c>
      <c r="Z8" s="418" t="e">
        <f t="shared" si="7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8"/>
        <v>-998.5</v>
      </c>
      <c r="O9" s="410"/>
      <c r="P9" s="411">
        <f t="shared" si="1"/>
        <v>-998.5</v>
      </c>
      <c r="Q9" s="412" t="e">
        <f t="shared" si="9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10"/>
        <v>1.4999999999999458E-3</v>
      </c>
      <c r="V9" s="415">
        <f t="shared" si="4"/>
        <v>1.7799999999999999E-3</v>
      </c>
      <c r="W9" s="414">
        <f t="shared" si="5"/>
        <v>1.0017831740498087</v>
      </c>
      <c r="X9" s="416">
        <f t="shared" si="11"/>
        <v>426.08698000000015</v>
      </c>
      <c r="Y9" s="417" t="e">
        <f t="shared" si="6"/>
        <v>#DIV/0!</v>
      </c>
      <c r="Z9" s="418" t="e">
        <f t="shared" si="7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8"/>
        <v>-998.5</v>
      </c>
      <c r="O10" s="410"/>
      <c r="P10" s="411">
        <f t="shared" si="1"/>
        <v>-998.5</v>
      </c>
      <c r="Q10" s="412" t="e">
        <f t="shared" si="9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10"/>
        <v>1.4999999999999458E-3</v>
      </c>
      <c r="V10" s="415">
        <f t="shared" si="4"/>
        <v>1.7799999999999999E-3</v>
      </c>
      <c r="W10" s="414">
        <f t="shared" si="5"/>
        <v>1.0017831740498087</v>
      </c>
      <c r="X10" s="416">
        <f t="shared" si="11"/>
        <v>426.08698000000015</v>
      </c>
      <c r="Y10" s="417" t="e">
        <f t="shared" si="6"/>
        <v>#DIV/0!</v>
      </c>
      <c r="Z10" s="418" t="e">
        <f t="shared" si="7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8"/>
        <v>-998.5</v>
      </c>
      <c r="O11" s="410"/>
      <c r="P11" s="411">
        <f>N11+O11</f>
        <v>-998.5</v>
      </c>
      <c r="Q11" s="412" t="e">
        <f t="shared" si="9"/>
        <v>#DIV/0!</v>
      </c>
      <c r="R11" s="407" t="e">
        <f>$F$36*P11</f>
        <v>#DIV/0!</v>
      </c>
      <c r="S11" s="413" t="e">
        <f>$G$24/100*R11</f>
        <v>#DIV/0!</v>
      </c>
      <c r="U11" s="414">
        <f t="shared" si="10"/>
        <v>1.4999999999999458E-3</v>
      </c>
      <c r="V11" s="415">
        <f t="shared" si="4"/>
        <v>1.7799999999999999E-3</v>
      </c>
      <c r="W11" s="414">
        <f t="shared" si="5"/>
        <v>1.0017831740498087</v>
      </c>
      <c r="X11" s="416">
        <f t="shared" si="11"/>
        <v>426.08698000000015</v>
      </c>
      <c r="Y11" s="417" t="e">
        <f t="shared" si="6"/>
        <v>#DIV/0!</v>
      </c>
      <c r="Z11" s="418" t="e">
        <f t="shared" si="7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/>
      <c r="L12" s="409"/>
      <c r="M12" s="467">
        <f>(L12-1)*1000</f>
        <v>-1000</v>
      </c>
      <c r="N12" s="467">
        <f t="shared" si="8"/>
        <v>-998.5</v>
      </c>
      <c r="O12" s="410"/>
      <c r="P12" s="468">
        <f>N12+O12</f>
        <v>-998.5</v>
      </c>
      <c r="Q12" s="469" t="e">
        <f t="shared" si="9"/>
        <v>#REF!</v>
      </c>
      <c r="R12" s="467" t="e">
        <f>$F$36*P12</f>
        <v>#DIV/0!</v>
      </c>
      <c r="S12" s="470" t="e">
        <f>$G$24/100*R12</f>
        <v>#DIV/0!</v>
      </c>
      <c r="U12" s="414">
        <f t="shared" si="10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1"/>
        <v>426.08698000000015</v>
      </c>
      <c r="Y12" s="417" t="e">
        <f t="shared" si="6"/>
        <v>#DIV/0!</v>
      </c>
      <c r="Z12" s="418" t="e">
        <f t="shared" si="7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20</v>
      </c>
      <c r="E13" s="474">
        <f>D13</f>
        <v>20</v>
      </c>
      <c r="F13" s="457">
        <f t="shared" si="13"/>
        <v>11.540680900173115</v>
      </c>
      <c r="G13" s="475">
        <f t="shared" si="14"/>
        <v>88.459319099826885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88.459319099826885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13.7</v>
      </c>
      <c r="E15" s="462">
        <f>D15</f>
        <v>13.7</v>
      </c>
      <c r="F15" s="479">
        <f t="shared" si="13"/>
        <v>7.905366416618584</v>
      </c>
      <c r="G15" s="480">
        <f t="shared" si="14"/>
        <v>80.553952683208308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631.9</v>
      </c>
      <c r="E16" s="485">
        <f>D16-C16</f>
        <v>1.5</v>
      </c>
      <c r="F16" s="457">
        <f t="shared" si="13"/>
        <v>0.86555106751298361</v>
      </c>
      <c r="G16" s="463">
        <f t="shared" si="14"/>
        <v>79.688401615695327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529.1</v>
      </c>
      <c r="E17" s="487">
        <f t="shared" ref="E17:E24" si="15">D17-C17</f>
        <v>9.8000000000000682</v>
      </c>
      <c r="F17" s="457">
        <f t="shared" si="13"/>
        <v>5.6549336410848658</v>
      </c>
      <c r="G17" s="475">
        <f t="shared" si="14"/>
        <v>74.03346797461046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527.29999999999995</v>
      </c>
      <c r="E18" s="488">
        <f t="shared" si="15"/>
        <v>21.099999999999966</v>
      </c>
      <c r="F18" s="457">
        <f t="shared" si="13"/>
        <v>12.175418349682616</v>
      </c>
      <c r="G18" s="475">
        <f t="shared" si="14"/>
        <v>61.858049624927844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401</v>
      </c>
      <c r="E19" s="487">
        <f t="shared" si="15"/>
        <v>17.199999999999989</v>
      </c>
      <c r="F19" s="457">
        <f t="shared" si="13"/>
        <v>9.9249855741488737</v>
      </c>
      <c r="G19" s="475">
        <f t="shared" si="14"/>
        <v>51.933064050778967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400.2</v>
      </c>
      <c r="E20" s="488">
        <f t="shared" si="15"/>
        <v>24</v>
      </c>
      <c r="F20" s="457">
        <f t="shared" si="13"/>
        <v>13.848817080207738</v>
      </c>
      <c r="G20" s="475">
        <f t="shared" si="14"/>
        <v>38.084246970571229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1.8182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352</v>
      </c>
      <c r="E21" s="487">
        <f t="shared" si="15"/>
        <v>21.199999999999989</v>
      </c>
      <c r="F21" s="457">
        <f t="shared" si="13"/>
        <v>12.233121754183497</v>
      </c>
      <c r="G21" s="475">
        <f t="shared" si="14"/>
        <v>25.851125216387732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5.79E-2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341.7</v>
      </c>
      <c r="E22" s="488">
        <f t="shared" si="15"/>
        <v>15.599999999999966</v>
      </c>
      <c r="F22" s="457">
        <f t="shared" si="13"/>
        <v>9.001731102135011</v>
      </c>
      <c r="G22" s="475">
        <f t="shared" si="14"/>
        <v>16.849394114252721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31.402417962003454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311.39999999999998</v>
      </c>
      <c r="E23" s="487">
        <f t="shared" si="15"/>
        <v>7</v>
      </c>
      <c r="F23" s="457">
        <f t="shared" si="13"/>
        <v>4.0392383150605902</v>
      </c>
      <c r="G23" s="490">
        <f t="shared" si="14"/>
        <v>12.810155799192131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317.39999999999998</v>
      </c>
      <c r="E24" s="488">
        <f t="shared" si="15"/>
        <v>3.6999999999999886</v>
      </c>
      <c r="F24" s="492">
        <f t="shared" si="13"/>
        <v>2.1350259665320199</v>
      </c>
      <c r="G24" s="493">
        <f t="shared" si="14"/>
        <v>10.675129832660112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4.0054594679999993E-5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371.4</v>
      </c>
      <c r="E25" s="496">
        <f>D25-C25+(G6-C26)</f>
        <v>18.499999999999972</v>
      </c>
      <c r="F25" s="457">
        <f t="shared" si="13"/>
        <v>10.675129832660115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159.9</v>
      </c>
      <c r="D26" s="498" t="s">
        <v>19</v>
      </c>
      <c r="E26" s="499">
        <f>SUM(E12:E25)</f>
        <v>173.29999999999993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1.2000000000000739</v>
      </c>
      <c r="F27" s="505">
        <f>IF((E27/G6*100)&gt;1,"Fehler zu groß",(E27/G6*100))</f>
        <v>0.68767908309459824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2.8504871748000001E-6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 t="s">
        <v>37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ungültig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352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9.9779999999999997E-5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A7" zoomScale="85" zoomScaleNormal="85" workbookViewId="0">
      <selection activeCell="F38" sqref="F38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144</v>
      </c>
      <c r="D3" s="385" t="s">
        <v>25</v>
      </c>
      <c r="E3" s="387">
        <v>40028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 t="shared" ref="V4:V11" si="4">0.00178/(1+0.0337*K5+0.00022*K5^2)</f>
        <v>1.7799999999999999E-3</v>
      </c>
      <c r="W4" s="414">
        <f t="shared" ref="W4:W11" si="5">1/(1+((2.31*K5-2)^2-182)*0.00001)</f>
        <v>1.0017831740498087</v>
      </c>
      <c r="X4" s="416">
        <f>4142.8*(1.03-U4)/10</f>
        <v>426.08698000000015</v>
      </c>
      <c r="Y4" s="417" t="e">
        <f t="shared" ref="Y4:Y12" si="6">X4+$AB$5+0.5*($AC$5-$AD$5/$AE$5)</f>
        <v>#DIV/0!</v>
      </c>
      <c r="Z4" s="418" t="e">
        <f t="shared" ref="Z4:Z12" si="7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8">M5+$G$33</f>
        <v>-998.5</v>
      </c>
      <c r="O5" s="410"/>
      <c r="P5" s="411">
        <f t="shared" si="1"/>
        <v>-998.5</v>
      </c>
      <c r="Q5" s="412" t="e">
        <f t="shared" ref="Q5:Q12" si="9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10">1+0.001*N5</f>
        <v>1.4999999999999458E-3</v>
      </c>
      <c r="V5" s="415">
        <f t="shared" si="4"/>
        <v>1.7799999999999999E-3</v>
      </c>
      <c r="W5" s="414">
        <f t="shared" si="5"/>
        <v>1.0017831740498087</v>
      </c>
      <c r="X5" s="416">
        <f t="shared" ref="X5:X12" si="11">4142.8*(1.03-U5)/10</f>
        <v>426.08698000000015</v>
      </c>
      <c r="Y5" s="417" t="e">
        <f t="shared" si="6"/>
        <v>#DIV/0!</v>
      </c>
      <c r="Z5" s="418" t="e">
        <f t="shared" si="7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266.2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8"/>
        <v>-998.5</v>
      </c>
      <c r="O6" s="410"/>
      <c r="P6" s="411">
        <f t="shared" si="1"/>
        <v>-998.5</v>
      </c>
      <c r="Q6" s="412" t="e">
        <f t="shared" si="9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10"/>
        <v>1.4999999999999458E-3</v>
      </c>
      <c r="V6" s="415">
        <f t="shared" si="4"/>
        <v>1.7799999999999999E-3</v>
      </c>
      <c r="W6" s="414">
        <f t="shared" si="5"/>
        <v>1.0017831740498087</v>
      </c>
      <c r="X6" s="416">
        <f t="shared" si="11"/>
        <v>426.08698000000015</v>
      </c>
      <c r="Y6" s="417" t="e">
        <f t="shared" si="6"/>
        <v>#DIV/0!</v>
      </c>
      <c r="Z6" s="418" t="e">
        <f t="shared" si="7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/>
      <c r="L7" s="409"/>
      <c r="M7" s="407">
        <f t="shared" si="0"/>
        <v>-1000</v>
      </c>
      <c r="N7" s="407">
        <f t="shared" si="8"/>
        <v>-998.5</v>
      </c>
      <c r="O7" s="410"/>
      <c r="P7" s="411">
        <f t="shared" si="1"/>
        <v>-998.5</v>
      </c>
      <c r="Q7" s="412" t="e">
        <f t="shared" si="9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10"/>
        <v>1.4999999999999458E-3</v>
      </c>
      <c r="V7" s="415">
        <f t="shared" si="4"/>
        <v>1.7799999999999999E-3</v>
      </c>
      <c r="W7" s="414">
        <f t="shared" si="5"/>
        <v>1.0017831740498087</v>
      </c>
      <c r="X7" s="416">
        <f t="shared" si="11"/>
        <v>426.08698000000015</v>
      </c>
      <c r="Y7" s="417" t="e">
        <f t="shared" si="6"/>
        <v>#DIV/0!</v>
      </c>
      <c r="Z7" s="418" t="e">
        <f t="shared" si="7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/>
      <c r="L8" s="409"/>
      <c r="M8" s="407">
        <f t="shared" si="0"/>
        <v>-1000</v>
      </c>
      <c r="N8" s="407">
        <f t="shared" si="8"/>
        <v>-998.5</v>
      </c>
      <c r="O8" s="410"/>
      <c r="P8" s="411">
        <f t="shared" si="1"/>
        <v>-998.5</v>
      </c>
      <c r="Q8" s="412" t="e">
        <f t="shared" si="9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10"/>
        <v>1.4999999999999458E-3</v>
      </c>
      <c r="V8" s="415">
        <f t="shared" si="4"/>
        <v>1.7799999999999999E-3</v>
      </c>
      <c r="W8" s="414">
        <f t="shared" si="5"/>
        <v>1.0017831740498087</v>
      </c>
      <c r="X8" s="416">
        <f t="shared" si="11"/>
        <v>426.08698000000015</v>
      </c>
      <c r="Y8" s="417" t="e">
        <f t="shared" si="6"/>
        <v>#DIV/0!</v>
      </c>
      <c r="Z8" s="418" t="e">
        <f t="shared" si="7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8"/>
        <v>-998.5</v>
      </c>
      <c r="O9" s="410"/>
      <c r="P9" s="411">
        <f t="shared" si="1"/>
        <v>-998.5</v>
      </c>
      <c r="Q9" s="412" t="e">
        <f t="shared" si="9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10"/>
        <v>1.4999999999999458E-3</v>
      </c>
      <c r="V9" s="415">
        <f t="shared" si="4"/>
        <v>1.7799999999999999E-3</v>
      </c>
      <c r="W9" s="414">
        <f t="shared" si="5"/>
        <v>1.0017831740498087</v>
      </c>
      <c r="X9" s="416">
        <f t="shared" si="11"/>
        <v>426.08698000000015</v>
      </c>
      <c r="Y9" s="417" t="e">
        <f t="shared" si="6"/>
        <v>#DIV/0!</v>
      </c>
      <c r="Z9" s="418" t="e">
        <f t="shared" si="7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8"/>
        <v>-998.5</v>
      </c>
      <c r="O10" s="410"/>
      <c r="P10" s="411">
        <f t="shared" si="1"/>
        <v>-998.5</v>
      </c>
      <c r="Q10" s="412" t="e">
        <f t="shared" si="9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10"/>
        <v>1.4999999999999458E-3</v>
      </c>
      <c r="V10" s="415">
        <f t="shared" si="4"/>
        <v>1.7799999999999999E-3</v>
      </c>
      <c r="W10" s="414">
        <f t="shared" si="5"/>
        <v>1.0017831740498087</v>
      </c>
      <c r="X10" s="416">
        <f t="shared" si="11"/>
        <v>426.08698000000015</v>
      </c>
      <c r="Y10" s="417" t="e">
        <f t="shared" si="6"/>
        <v>#DIV/0!</v>
      </c>
      <c r="Z10" s="418" t="e">
        <f t="shared" si="7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8"/>
        <v>-998.5</v>
      </c>
      <c r="O11" s="410"/>
      <c r="P11" s="411">
        <f>N11+O11</f>
        <v>-998.5</v>
      </c>
      <c r="Q11" s="412" t="e">
        <f t="shared" si="9"/>
        <v>#DIV/0!</v>
      </c>
      <c r="R11" s="407" t="e">
        <f>$F$36*P11</f>
        <v>#DIV/0!</v>
      </c>
      <c r="S11" s="413" t="e">
        <f>$G$24/100*R11</f>
        <v>#DIV/0!</v>
      </c>
      <c r="U11" s="414">
        <f t="shared" si="10"/>
        <v>1.4999999999999458E-3</v>
      </c>
      <c r="V11" s="415">
        <f t="shared" si="4"/>
        <v>1.7799999999999999E-3</v>
      </c>
      <c r="W11" s="414">
        <f t="shared" si="5"/>
        <v>1.0017831740498087</v>
      </c>
      <c r="X11" s="416">
        <f t="shared" si="11"/>
        <v>426.08698000000015</v>
      </c>
      <c r="Y11" s="417" t="e">
        <f t="shared" si="6"/>
        <v>#DIV/0!</v>
      </c>
      <c r="Z11" s="418" t="e">
        <f t="shared" si="7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/>
      <c r="L12" s="409"/>
      <c r="M12" s="467">
        <f>(L12-1)*1000</f>
        <v>-1000</v>
      </c>
      <c r="N12" s="467">
        <f t="shared" si="8"/>
        <v>-998.5</v>
      </c>
      <c r="O12" s="410"/>
      <c r="P12" s="468">
        <f>N12+O12</f>
        <v>-998.5</v>
      </c>
      <c r="Q12" s="469" t="e">
        <f t="shared" si="9"/>
        <v>#DIV/0!</v>
      </c>
      <c r="R12" s="467" t="e">
        <f>$F$36*P12</f>
        <v>#DIV/0!</v>
      </c>
      <c r="S12" s="470" t="e">
        <f>$G$24/100*R12</f>
        <v>#DIV/0!</v>
      </c>
      <c r="U12" s="414">
        <f t="shared" si="10"/>
        <v>1.4999999999999458E-3</v>
      </c>
      <c r="V12" s="415">
        <f>0.00178/(1+0.0337*L12+0.00022*L12^2)</f>
        <v>1.7799999999999999E-3</v>
      </c>
      <c r="W12" s="414">
        <f>1/(1+((2.31*L12-2)^2-182)*0.00001)</f>
        <v>1.0017831740498087</v>
      </c>
      <c r="X12" s="416">
        <f t="shared" si="11"/>
        <v>426.08698000000015</v>
      </c>
      <c r="Y12" s="417" t="e">
        <f t="shared" si="6"/>
        <v>#DIV/0!</v>
      </c>
      <c r="Z12" s="418" t="e">
        <f t="shared" si="7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53.4</v>
      </c>
      <c r="E13" s="474">
        <f>D13</f>
        <v>53.4</v>
      </c>
      <c r="F13" s="457">
        <f t="shared" si="13"/>
        <v>21.351459416233499</v>
      </c>
      <c r="G13" s="475">
        <f t="shared" si="14"/>
        <v>78.648540583766504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34.700000000000003</v>
      </c>
      <c r="E14" s="474">
        <f>D14</f>
        <v>34.700000000000003</v>
      </c>
      <c r="F14" s="457">
        <f t="shared" si="13"/>
        <v>13.874450219912033</v>
      </c>
      <c r="G14" s="475">
        <f t="shared" si="14"/>
        <v>64.774090363854469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10.4</v>
      </c>
      <c r="E15" s="462">
        <f>D15</f>
        <v>10.4</v>
      </c>
      <c r="F15" s="479">
        <f t="shared" si="13"/>
        <v>4.1583366653338656</v>
      </c>
      <c r="G15" s="480">
        <f t="shared" si="14"/>
        <v>60.615753698520606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633.5</v>
      </c>
      <c r="E16" s="485">
        <f>D16-C16</f>
        <v>3.1000000000000227</v>
      </c>
      <c r="F16" s="457">
        <f t="shared" si="13"/>
        <v>1.2395041983206805</v>
      </c>
      <c r="G16" s="463">
        <f t="shared" si="14"/>
        <v>59.376249500199926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535</v>
      </c>
      <c r="E17" s="487">
        <f t="shared" ref="E17:E24" si="15">D17-C17</f>
        <v>15.700000000000045</v>
      </c>
      <c r="F17" s="457">
        <f t="shared" si="13"/>
        <v>6.2774890043982579</v>
      </c>
      <c r="G17" s="475">
        <f t="shared" si="14"/>
        <v>53.09876049580167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521.4</v>
      </c>
      <c r="E18" s="488">
        <f t="shared" si="15"/>
        <v>15.199999999999989</v>
      </c>
      <c r="F18" s="457">
        <f t="shared" si="13"/>
        <v>6.0775689724110302</v>
      </c>
      <c r="G18" s="475">
        <f t="shared" si="14"/>
        <v>47.021191523390641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400.1</v>
      </c>
      <c r="E19" s="487">
        <f t="shared" si="15"/>
        <v>16.300000000000011</v>
      </c>
      <c r="F19" s="457">
        <f t="shared" si="13"/>
        <v>6.5173930427828903</v>
      </c>
      <c r="G19" s="475">
        <f t="shared" si="14"/>
        <v>40.503798480607749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394</v>
      </c>
      <c r="E20" s="488">
        <f t="shared" si="15"/>
        <v>17.800000000000011</v>
      </c>
      <c r="F20" s="457">
        <f t="shared" si="13"/>
        <v>7.1171531387445057</v>
      </c>
      <c r="G20" s="475">
        <f t="shared" si="14"/>
        <v>33.386645341863243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346.7</v>
      </c>
      <c r="E21" s="487">
        <f t="shared" si="15"/>
        <v>15.899999999999977</v>
      </c>
      <c r="F21" s="457">
        <f t="shared" si="13"/>
        <v>6.357457017193112</v>
      </c>
      <c r="G21" s="475">
        <f t="shared" si="14"/>
        <v>27.02918832467013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345.5</v>
      </c>
      <c r="E22" s="488">
        <f t="shared" si="15"/>
        <v>19.399999999999977</v>
      </c>
      <c r="F22" s="457">
        <f t="shared" si="13"/>
        <v>7.7568972411035482</v>
      </c>
      <c r="G22" s="475">
        <f t="shared" si="14"/>
        <v>19.272291083566582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320.5</v>
      </c>
      <c r="E23" s="487">
        <f t="shared" si="15"/>
        <v>16.100000000000023</v>
      </c>
      <c r="F23" s="457">
        <f t="shared" si="13"/>
        <v>6.4374250299880131</v>
      </c>
      <c r="G23" s="490">
        <f t="shared" si="14"/>
        <v>12.834866053578569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322</v>
      </c>
      <c r="E24" s="488">
        <f t="shared" si="15"/>
        <v>8.3000000000000114</v>
      </c>
      <c r="F24" s="492">
        <f t="shared" si="13"/>
        <v>3.3186725309876088</v>
      </c>
      <c r="G24" s="493">
        <f t="shared" si="14"/>
        <v>9.5161935225909602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</v>
      </c>
      <c r="E25" s="496">
        <f>D25-C25+(G6-C26)</f>
        <v>23.799999999999983</v>
      </c>
      <c r="F25" s="457">
        <f t="shared" si="13"/>
        <v>9.5161935225909549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244.9</v>
      </c>
      <c r="D26" s="498" t="s">
        <v>19</v>
      </c>
      <c r="E26" s="499">
        <f>SUM(E12:E25)</f>
        <v>250.10000000000005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/>
      <c r="D27" s="503" t="s">
        <v>22</v>
      </c>
      <c r="E27" s="504">
        <f>G6-E26</f>
        <v>16.099999999999937</v>
      </c>
      <c r="F27" s="505" t="str">
        <f>IF((E27/G6*100)&gt;1,"Fehler zu groß",(E27/G6*100))</f>
        <v>Fehler zu groß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315.25210084033625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/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145</v>
      </c>
      <c r="D3" s="385" t="s">
        <v>25</v>
      </c>
      <c r="E3" s="387">
        <v>40037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>J4*60</f>
        <v>30</v>
      </c>
      <c r="J4" s="407">
        <v>0.5</v>
      </c>
      <c r="L4" s="409"/>
      <c r="M4" s="407">
        <f t="shared" ref="M4:M10" si="0">(L4-1)*1000</f>
        <v>-1000</v>
      </c>
      <c r="N4" s="407">
        <f>M4+$G$33</f>
        <v>-998.5</v>
      </c>
      <c r="O4" s="410"/>
      <c r="P4" s="411">
        <f t="shared" ref="P4:P10" si="1">N4+O4</f>
        <v>-998.5</v>
      </c>
      <c r="Q4" s="412" t="e">
        <f>((18.35*V4/($F$34-W4))*Z4)^0.5</f>
        <v>#DIV/0!</v>
      </c>
      <c r="R4" s="407" t="e">
        <f t="shared" ref="R4:R10" si="2">$F$36*P4</f>
        <v>#DIV/0!</v>
      </c>
      <c r="S4" s="413" t="e">
        <f t="shared" ref="S4:S10" si="3">$G$24/100*R4</f>
        <v>#DIV/0!</v>
      </c>
      <c r="U4" s="414">
        <f>1+0.001*N4</f>
        <v>1.4999999999999458E-3</v>
      </c>
      <c r="V4" s="415">
        <f t="shared" ref="V4:V11" si="4">0.00178/(1+0.0337*K5+0.00022*K5^2)</f>
        <v>1.7799999999999999E-3</v>
      </c>
      <c r="W4" s="414">
        <f t="shared" ref="W4:W11" si="5">1/(1+((2.31*K5-2)^2-182)*0.00001)</f>
        <v>1.0017831740498087</v>
      </c>
      <c r="X4" s="416">
        <f>4142.8*(1.03-U4)/10</f>
        <v>426.08698000000015</v>
      </c>
      <c r="Y4" s="417" t="e">
        <f t="shared" ref="Y4:Y12" si="6">X4+$AB$5+0.5*($AC$5-$AD$5/$AE$5)</f>
        <v>#DIV/0!</v>
      </c>
      <c r="Z4" s="418" t="e">
        <f t="shared" ref="Z4:Z12" si="7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>J5*60</f>
        <v>60</v>
      </c>
      <c r="J5" s="426">
        <v>1</v>
      </c>
      <c r="K5" s="408"/>
      <c r="L5" s="409"/>
      <c r="M5" s="407">
        <f t="shared" si="0"/>
        <v>-1000</v>
      </c>
      <c r="N5" s="407">
        <f t="shared" ref="N5:N12" si="8">M5+$G$33</f>
        <v>-998.5</v>
      </c>
      <c r="O5" s="410"/>
      <c r="P5" s="411">
        <f t="shared" si="1"/>
        <v>-998.5</v>
      </c>
      <c r="Q5" s="412" t="e">
        <f t="shared" ref="Q5:Q12" si="9">((18.35*V5/($F$34-W5))*Z5)^0.5</f>
        <v>#DIV/0!</v>
      </c>
      <c r="R5" s="407" t="e">
        <f t="shared" si="2"/>
        <v>#DIV/0!</v>
      </c>
      <c r="S5" s="413" t="e">
        <f t="shared" si="3"/>
        <v>#DIV/0!</v>
      </c>
      <c r="U5" s="414">
        <f t="shared" ref="U5:U12" si="10">1+0.001*N5</f>
        <v>1.4999999999999458E-3</v>
      </c>
      <c r="V5" s="415">
        <f t="shared" si="4"/>
        <v>1.7799999999999999E-3</v>
      </c>
      <c r="W5" s="414">
        <f t="shared" si="5"/>
        <v>1.0017831740498087</v>
      </c>
      <c r="X5" s="416">
        <f t="shared" ref="X5:X12" si="11">4142.8*(1.03-U5)/10</f>
        <v>426.08698000000015</v>
      </c>
      <c r="Y5" s="417" t="e">
        <f t="shared" si="6"/>
        <v>#DIV/0!</v>
      </c>
      <c r="Z5" s="418" t="e">
        <f t="shared" si="7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220.1</v>
      </c>
      <c r="I6" s="406">
        <f t="shared" ref="I6:I12" si="12">J6*60</f>
        <v>120</v>
      </c>
      <c r="J6" s="426">
        <v>2</v>
      </c>
      <c r="K6" s="408"/>
      <c r="L6" s="409"/>
      <c r="M6" s="407">
        <f t="shared" si="0"/>
        <v>-1000</v>
      </c>
      <c r="N6" s="407">
        <f t="shared" si="8"/>
        <v>-998.5</v>
      </c>
      <c r="O6" s="410"/>
      <c r="P6" s="411">
        <f t="shared" si="1"/>
        <v>-998.5</v>
      </c>
      <c r="Q6" s="412" t="e">
        <f t="shared" si="9"/>
        <v>#DIV/0!</v>
      </c>
      <c r="R6" s="407" t="e">
        <f t="shared" si="2"/>
        <v>#DIV/0!</v>
      </c>
      <c r="S6" s="413" t="e">
        <f t="shared" si="3"/>
        <v>#DIV/0!</v>
      </c>
      <c r="U6" s="414">
        <f t="shared" si="10"/>
        <v>1.4999999999999458E-3</v>
      </c>
      <c r="V6" s="415">
        <f t="shared" si="4"/>
        <v>1.7799999999999999E-3</v>
      </c>
      <c r="W6" s="414">
        <f t="shared" si="5"/>
        <v>1.0017831740498087</v>
      </c>
      <c r="X6" s="416">
        <f t="shared" si="11"/>
        <v>426.08698000000015</v>
      </c>
      <c r="Y6" s="417" t="e">
        <f t="shared" si="6"/>
        <v>#DIV/0!</v>
      </c>
      <c r="Z6" s="418" t="e">
        <f t="shared" si="7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12"/>
        <v>300</v>
      </c>
      <c r="J7" s="426">
        <v>5</v>
      </c>
      <c r="K7" s="408"/>
      <c r="L7" s="409"/>
      <c r="M7" s="407">
        <f t="shared" si="0"/>
        <v>-1000</v>
      </c>
      <c r="N7" s="407">
        <f t="shared" si="8"/>
        <v>-998.5</v>
      </c>
      <c r="O7" s="410"/>
      <c r="P7" s="411">
        <f t="shared" si="1"/>
        <v>-998.5</v>
      </c>
      <c r="Q7" s="412" t="e">
        <f t="shared" si="9"/>
        <v>#DIV/0!</v>
      </c>
      <c r="R7" s="407" t="e">
        <f t="shared" si="2"/>
        <v>#DIV/0!</v>
      </c>
      <c r="S7" s="413" t="e">
        <f t="shared" si="3"/>
        <v>#DIV/0!</v>
      </c>
      <c r="U7" s="414">
        <f t="shared" si="10"/>
        <v>1.4999999999999458E-3</v>
      </c>
      <c r="V7" s="415">
        <f t="shared" si="4"/>
        <v>1.7799999999999999E-3</v>
      </c>
      <c r="W7" s="414">
        <f t="shared" si="5"/>
        <v>1.0017831740498087</v>
      </c>
      <c r="X7" s="416">
        <f t="shared" si="11"/>
        <v>426.08698000000015</v>
      </c>
      <c r="Y7" s="417" t="e">
        <f t="shared" si="6"/>
        <v>#DIV/0!</v>
      </c>
      <c r="Z7" s="418" t="e">
        <f t="shared" si="7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12"/>
        <v>900</v>
      </c>
      <c r="J8" s="426">
        <v>15</v>
      </c>
      <c r="K8" s="408"/>
      <c r="L8" s="409"/>
      <c r="M8" s="407">
        <f t="shared" si="0"/>
        <v>-1000</v>
      </c>
      <c r="N8" s="407">
        <f t="shared" si="8"/>
        <v>-998.5</v>
      </c>
      <c r="O8" s="410"/>
      <c r="P8" s="411">
        <f t="shared" si="1"/>
        <v>-998.5</v>
      </c>
      <c r="Q8" s="412" t="e">
        <f t="shared" si="9"/>
        <v>#DIV/0!</v>
      </c>
      <c r="R8" s="407" t="e">
        <f t="shared" si="2"/>
        <v>#DIV/0!</v>
      </c>
      <c r="S8" s="413" t="e">
        <f t="shared" si="3"/>
        <v>#DIV/0!</v>
      </c>
      <c r="U8" s="414">
        <f t="shared" si="10"/>
        <v>1.4999999999999458E-3</v>
      </c>
      <c r="V8" s="415">
        <f t="shared" si="4"/>
        <v>1.7799999999999999E-3</v>
      </c>
      <c r="W8" s="414">
        <f t="shared" si="5"/>
        <v>1.0017831740498087</v>
      </c>
      <c r="X8" s="416">
        <f t="shared" si="11"/>
        <v>426.08698000000015</v>
      </c>
      <c r="Y8" s="417" t="e">
        <f t="shared" si="6"/>
        <v>#DIV/0!</v>
      </c>
      <c r="Z8" s="418" t="e">
        <f t="shared" si="7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12"/>
        <v>2700</v>
      </c>
      <c r="J9" s="426">
        <v>45</v>
      </c>
      <c r="K9" s="408"/>
      <c r="L9" s="409"/>
      <c r="M9" s="407">
        <f t="shared" si="0"/>
        <v>-1000</v>
      </c>
      <c r="N9" s="407">
        <f t="shared" si="8"/>
        <v>-998.5</v>
      </c>
      <c r="O9" s="410"/>
      <c r="P9" s="411">
        <f t="shared" si="1"/>
        <v>-998.5</v>
      </c>
      <c r="Q9" s="412" t="e">
        <f t="shared" si="9"/>
        <v>#DIV/0!</v>
      </c>
      <c r="R9" s="407" t="e">
        <f t="shared" si="2"/>
        <v>#DIV/0!</v>
      </c>
      <c r="S9" s="413" t="e">
        <f t="shared" si="3"/>
        <v>#DIV/0!</v>
      </c>
      <c r="U9" s="414">
        <f t="shared" si="10"/>
        <v>1.4999999999999458E-3</v>
      </c>
      <c r="V9" s="415">
        <f t="shared" si="4"/>
        <v>1.7799999999999999E-3</v>
      </c>
      <c r="W9" s="414">
        <f t="shared" si="5"/>
        <v>1.0017831740498087</v>
      </c>
      <c r="X9" s="416">
        <f t="shared" si="11"/>
        <v>426.08698000000015</v>
      </c>
      <c r="Y9" s="417" t="e">
        <f t="shared" si="6"/>
        <v>#DIV/0!</v>
      </c>
      <c r="Z9" s="418" t="e">
        <f t="shared" si="7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12"/>
        <v>7200</v>
      </c>
      <c r="J10" s="426">
        <v>120</v>
      </c>
      <c r="K10" s="408"/>
      <c r="L10" s="409"/>
      <c r="M10" s="407">
        <f t="shared" si="0"/>
        <v>-1000</v>
      </c>
      <c r="N10" s="407">
        <f t="shared" si="8"/>
        <v>-998.5</v>
      </c>
      <c r="O10" s="410"/>
      <c r="P10" s="411">
        <f t="shared" si="1"/>
        <v>-998.5</v>
      </c>
      <c r="Q10" s="412" t="e">
        <f t="shared" si="9"/>
        <v>#DIV/0!</v>
      </c>
      <c r="R10" s="407" t="e">
        <f t="shared" si="2"/>
        <v>#DIV/0!</v>
      </c>
      <c r="S10" s="413" t="e">
        <f t="shared" si="3"/>
        <v>#DIV/0!</v>
      </c>
      <c r="U10" s="414">
        <f t="shared" si="10"/>
        <v>1.4999999999999458E-3</v>
      </c>
      <c r="V10" s="415">
        <f t="shared" si="4"/>
        <v>1.7799999999999999E-3</v>
      </c>
      <c r="W10" s="414">
        <f t="shared" si="5"/>
        <v>1.0017831740498087</v>
      </c>
      <c r="X10" s="416">
        <f t="shared" si="11"/>
        <v>426.08698000000015</v>
      </c>
      <c r="Y10" s="417" t="e">
        <f t="shared" si="6"/>
        <v>#DIV/0!</v>
      </c>
      <c r="Z10" s="418" t="e">
        <f t="shared" si="7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12"/>
        <v>21600</v>
      </c>
      <c r="J11" s="426">
        <v>360</v>
      </c>
      <c r="K11" s="408"/>
      <c r="L11" s="409"/>
      <c r="M11" s="407">
        <f>(L11-1)*1000</f>
        <v>-1000</v>
      </c>
      <c r="N11" s="407">
        <f t="shared" si="8"/>
        <v>-998.5</v>
      </c>
      <c r="O11" s="410"/>
      <c r="P11" s="411">
        <f>N11+O11</f>
        <v>-998.5</v>
      </c>
      <c r="Q11" s="412" t="e">
        <f t="shared" si="9"/>
        <v>#DIV/0!</v>
      </c>
      <c r="R11" s="407" t="e">
        <f>$F$36*P11</f>
        <v>#DIV/0!</v>
      </c>
      <c r="S11" s="413" t="e">
        <f>$G$24/100*R11</f>
        <v>#DIV/0!</v>
      </c>
      <c r="U11" s="414">
        <f t="shared" si="10"/>
        <v>1.4999999999999458E-3</v>
      </c>
      <c r="V11" s="415">
        <f t="shared" si="4"/>
        <v>1.7799999999999999E-3</v>
      </c>
      <c r="W11" s="414">
        <f t="shared" si="5"/>
        <v>1.0017831740498087</v>
      </c>
      <c r="X11" s="416">
        <f t="shared" si="11"/>
        <v>426.08698000000015</v>
      </c>
      <c r="Y11" s="417" t="e">
        <f t="shared" si="6"/>
        <v>#DIV/0!</v>
      </c>
      <c r="Z11" s="418" t="e">
        <f t="shared" si="7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4" si="14">G11-F12</f>
        <v>100</v>
      </c>
      <c r="I12" s="464">
        <f t="shared" si="12"/>
        <v>86400</v>
      </c>
      <c r="J12" s="465">
        <v>1440</v>
      </c>
      <c r="K12" s="408"/>
      <c r="L12" s="409"/>
      <c r="M12" s="467">
        <f>(L12-1)*1000</f>
        <v>-1000</v>
      </c>
      <c r="N12" s="467">
        <f t="shared" si="8"/>
        <v>-998.5</v>
      </c>
      <c r="O12" s="410"/>
      <c r="P12" s="468">
        <f>N12+O12</f>
        <v>-998.5</v>
      </c>
      <c r="Q12" s="469" t="e">
        <f t="shared" si="9"/>
        <v>#REF!</v>
      </c>
      <c r="R12" s="467" t="e">
        <f>$F$36*P12</f>
        <v>#DIV/0!</v>
      </c>
      <c r="S12" s="470" t="e">
        <f>$G$24/100*R12</f>
        <v>#DIV/0!</v>
      </c>
      <c r="U12" s="414">
        <f t="shared" si="10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1"/>
        <v>426.08698000000015</v>
      </c>
      <c r="Y12" s="417" t="e">
        <f t="shared" si="6"/>
        <v>#DIV/0!</v>
      </c>
      <c r="Z12" s="418" t="e">
        <f t="shared" si="7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4.8</v>
      </c>
      <c r="E14" s="474">
        <f>D14</f>
        <v>4.8</v>
      </c>
      <c r="F14" s="457">
        <f t="shared" si="13"/>
        <v>2.1897810218978093</v>
      </c>
      <c r="G14" s="475">
        <f t="shared" si="14"/>
        <v>97.810218978102185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23.6</v>
      </c>
      <c r="E15" s="462">
        <f>D15</f>
        <v>23.6</v>
      </c>
      <c r="F15" s="479">
        <f t="shared" si="13"/>
        <v>10.76642335766423</v>
      </c>
      <c r="G15" s="480">
        <f t="shared" si="14"/>
        <v>87.043795620437947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631.79999999999995</v>
      </c>
      <c r="E16" s="485">
        <f>D16-C16</f>
        <v>1.3999999999999773</v>
      </c>
      <c r="F16" s="457">
        <f t="shared" si="13"/>
        <v>0.63868613138685071</v>
      </c>
      <c r="G16" s="463">
        <f t="shared" si="14"/>
        <v>86.4051094890511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522.1</v>
      </c>
      <c r="E17" s="487">
        <f t="shared" ref="E17:E24" si="15">D17-C17</f>
        <v>2.8000000000000682</v>
      </c>
      <c r="F17" s="457">
        <f t="shared" si="13"/>
        <v>1.2773722627737534</v>
      </c>
      <c r="G17" s="475">
        <f t="shared" si="14"/>
        <v>85.127737226277347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513.20000000000005</v>
      </c>
      <c r="E18" s="488">
        <f t="shared" si="15"/>
        <v>7.0000000000000568</v>
      </c>
      <c r="F18" s="457">
        <f t="shared" si="13"/>
        <v>3.1934306569343311</v>
      </c>
      <c r="G18" s="475">
        <f t="shared" si="14"/>
        <v>81.934306569343022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398.9</v>
      </c>
      <c r="E19" s="487">
        <f t="shared" si="15"/>
        <v>15.099999999999966</v>
      </c>
      <c r="F19" s="457">
        <f t="shared" si="13"/>
        <v>6.8886861313868435</v>
      </c>
      <c r="G19" s="475">
        <f t="shared" si="14"/>
        <v>75.045620437956174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414.4</v>
      </c>
      <c r="E20" s="488">
        <f t="shared" si="15"/>
        <v>38.199999999999989</v>
      </c>
      <c r="F20" s="457">
        <f t="shared" si="13"/>
        <v>17.427007299270063</v>
      </c>
      <c r="G20" s="475">
        <f t="shared" si="14"/>
        <v>57.618613138686115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0.68100000000000005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377.8</v>
      </c>
      <c r="E21" s="487">
        <f t="shared" si="15"/>
        <v>47</v>
      </c>
      <c r="F21" s="457">
        <f t="shared" si="13"/>
        <v>21.441605839416049</v>
      </c>
      <c r="G21" s="475">
        <f t="shared" si="14"/>
        <v>36.177007299270066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4.4600000000000001E-2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366.2</v>
      </c>
      <c r="E22" s="488">
        <f t="shared" si="15"/>
        <v>40.099999999999966</v>
      </c>
      <c r="F22" s="457">
        <f t="shared" si="13"/>
        <v>18.293795620437933</v>
      </c>
      <c r="G22" s="475">
        <f t="shared" si="14"/>
        <v>17.883211678832133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15.269058295964127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311.39999999999998</v>
      </c>
      <c r="E23" s="487">
        <f t="shared" si="15"/>
        <v>7</v>
      </c>
      <c r="F23" s="457">
        <f t="shared" si="13"/>
        <v>3.1934306569343054</v>
      </c>
      <c r="G23" s="490">
        <f t="shared" si="14"/>
        <v>14.689781021897828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315.8</v>
      </c>
      <c r="E24" s="488">
        <f t="shared" si="15"/>
        <v>2.1000000000000227</v>
      </c>
      <c r="F24" s="492">
        <f t="shared" si="13"/>
        <v>0.9580291970803021</v>
      </c>
      <c r="G24" s="493">
        <f t="shared" si="14"/>
        <v>13.731751824817525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2.3766483679999995E-5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367.6</v>
      </c>
      <c r="E25" s="496">
        <f>D25-C25+(G6-C26)</f>
        <v>30.100000000000023</v>
      </c>
      <c r="F25" s="457">
        <f t="shared" si="13"/>
        <v>13.731751824817524</v>
      </c>
      <c r="G25" s="463">
        <f>G24-F25</f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190.1</v>
      </c>
      <c r="D26" s="498" t="s">
        <v>19</v>
      </c>
      <c r="E26" s="499">
        <f>SUM(E12:E25)</f>
        <v>219.20000000000007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0.89999999999992042</v>
      </c>
      <c r="F27" s="505">
        <f>IF((E27/G6*100)&gt;1,"Fehler zu groß",(E27/G6*100))</f>
        <v>0.40890504316216286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1.6913429648000002E-6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ungültig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351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6.6119999999999997E-5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Z1:Z2"/>
    <mergeCell ref="AB1:AB2"/>
    <mergeCell ref="AC1:AC2"/>
    <mergeCell ref="AD1:AD2"/>
    <mergeCell ref="A11:A15"/>
    <mergeCell ref="A16:A24"/>
    <mergeCell ref="A26:B26"/>
    <mergeCell ref="A27:B27"/>
    <mergeCell ref="A29:G29"/>
    <mergeCell ref="AE1:AE2"/>
    <mergeCell ref="E8:F8"/>
    <mergeCell ref="G8:G9"/>
    <mergeCell ref="O1:O3"/>
    <mergeCell ref="P1:P3"/>
    <mergeCell ref="Q1:Q2"/>
    <mergeCell ref="R1:R3"/>
    <mergeCell ref="S1:S3"/>
    <mergeCell ref="X1:X2"/>
    <mergeCell ref="A1:G1"/>
    <mergeCell ref="I1:J2"/>
    <mergeCell ref="K1:K3"/>
    <mergeCell ref="L1:L2"/>
    <mergeCell ref="M1:M3"/>
    <mergeCell ref="N1:N3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U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146</v>
      </c>
      <c r="D3" s="385" t="s">
        <v>25</v>
      </c>
      <c r="E3" s="387">
        <v>40045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349</v>
      </c>
      <c r="F4" s="404"/>
      <c r="G4" s="405"/>
      <c r="H4" s="371"/>
      <c r="I4" s="406">
        <f t="shared" ref="I4:I12" si="0">J4*60</f>
        <v>30</v>
      </c>
      <c r="J4" s="407">
        <v>0.5</v>
      </c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 t="shared" ref="V4:V11" si="8">0.00178/(1+0.0337*K5+0.00022*K5^2)</f>
        <v>1.7799999999999999E-3</v>
      </c>
      <c r="W4" s="414">
        <f t="shared" ref="W4:W11" si="9">1/(1+((2.31*K5-2)^2-182)*0.00001)</f>
        <v>1.0017831740498087</v>
      </c>
      <c r="X4" s="416">
        <f t="shared" ref="X4:X12" si="10">4142.8*(1.03-U4)/10</f>
        <v>426.08698000000015</v>
      </c>
      <c r="Y4" s="417" t="e">
        <f t="shared" ref="Y4:Y12" si="11">X4+$AB$5+0.5*($AC$5-$AD$5/$AE$5)</f>
        <v>#DIV/0!</v>
      </c>
      <c r="Z4" s="418" t="e">
        <f t="shared" ref="Z4:Z12" si="12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si="8"/>
        <v>1.7799999999999999E-3</v>
      </c>
      <c r="W5" s="414">
        <f t="shared" si="9"/>
        <v>1.0017831740498087</v>
      </c>
      <c r="X5" s="416">
        <f t="shared" si="10"/>
        <v>426.08698000000015</v>
      </c>
      <c r="Y5" s="417" t="e">
        <f t="shared" si="11"/>
        <v>#DIV/0!</v>
      </c>
      <c r="Z5" s="418" t="e">
        <f t="shared" si="12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/>
      <c r="D6" s="433"/>
      <c r="E6" s="401" t="s">
        <v>41</v>
      </c>
      <c r="F6" s="434"/>
      <c r="G6" s="435">
        <v>273.5</v>
      </c>
      <c r="I6" s="406">
        <f t="shared" si="0"/>
        <v>120</v>
      </c>
      <c r="J6" s="426">
        <v>2</v>
      </c>
      <c r="K6" s="408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8"/>
        <v>1.7799999999999999E-3</v>
      </c>
      <c r="W6" s="414">
        <f t="shared" si="9"/>
        <v>1.0017831740498087</v>
      </c>
      <c r="X6" s="416">
        <f t="shared" si="10"/>
        <v>426.08698000000015</v>
      </c>
      <c r="Y6" s="417" t="e">
        <f t="shared" si="11"/>
        <v>#DIV/0!</v>
      </c>
      <c r="Z6" s="418" t="e">
        <f t="shared" si="12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8"/>
        <v>1.7799999999999999E-3</v>
      </c>
      <c r="W7" s="414">
        <f t="shared" si="9"/>
        <v>1.0017831740498087</v>
      </c>
      <c r="X7" s="416">
        <f t="shared" si="10"/>
        <v>426.08698000000015</v>
      </c>
      <c r="Y7" s="417" t="e">
        <f t="shared" si="11"/>
        <v>#DIV/0!</v>
      </c>
      <c r="Z7" s="418" t="e">
        <f t="shared" si="12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8"/>
        <v>1.7799999999999999E-3</v>
      </c>
      <c r="W8" s="414">
        <f t="shared" si="9"/>
        <v>1.0017831740498087</v>
      </c>
      <c r="X8" s="416">
        <f t="shared" si="10"/>
        <v>426.08698000000015</v>
      </c>
      <c r="Y8" s="417" t="e">
        <f t="shared" si="11"/>
        <v>#DIV/0!</v>
      </c>
      <c r="Z8" s="418" t="e">
        <f t="shared" si="12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8"/>
        <v>1.7799999999999999E-3</v>
      </c>
      <c r="W9" s="414">
        <f t="shared" si="9"/>
        <v>1.0017831740498087</v>
      </c>
      <c r="X9" s="416">
        <f t="shared" si="10"/>
        <v>426.08698000000015</v>
      </c>
      <c r="Y9" s="417" t="e">
        <f t="shared" si="11"/>
        <v>#DIV/0!</v>
      </c>
      <c r="Z9" s="418" t="e">
        <f t="shared" si="12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8"/>
        <v>1.7799999999999999E-3</v>
      </c>
      <c r="W10" s="414">
        <f t="shared" si="9"/>
        <v>1.0017831740498087</v>
      </c>
      <c r="X10" s="416">
        <f t="shared" si="10"/>
        <v>426.08698000000015</v>
      </c>
      <c r="Y10" s="417" t="e">
        <f t="shared" si="11"/>
        <v>#DIV/0!</v>
      </c>
      <c r="Z10" s="418" t="e">
        <f t="shared" si="12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8"/>
        <v>1.7799999999999999E-3</v>
      </c>
      <c r="W11" s="414">
        <f t="shared" si="9"/>
        <v>1.0017831740498087</v>
      </c>
      <c r="X11" s="416">
        <f t="shared" si="10"/>
        <v>426.08698000000015</v>
      </c>
      <c r="Y11" s="417" t="e">
        <f t="shared" si="11"/>
        <v>#DIV/0!</v>
      </c>
      <c r="Z11" s="418" t="e">
        <f t="shared" si="12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408"/>
      <c r="L12" s="409"/>
      <c r="M12" s="467">
        <f t="shared" si="1"/>
        <v>-1000</v>
      </c>
      <c r="N12" s="467">
        <f t="shared" si="2"/>
        <v>-998.5</v>
      </c>
      <c r="O12" s="410"/>
      <c r="P12" s="468">
        <f t="shared" si="3"/>
        <v>-998.5</v>
      </c>
      <c r="Q12" s="469" t="e">
        <f t="shared" si="4"/>
        <v>#REF!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0"/>
        <v>426.08698000000015</v>
      </c>
      <c r="Y12" s="417" t="e">
        <f t="shared" si="11"/>
        <v>#DIV/0!</v>
      </c>
      <c r="Z12" s="418" t="e">
        <f t="shared" si="12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3"/>
        <v>0</v>
      </c>
      <c r="G15" s="480">
        <f t="shared" si="14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630.4</v>
      </c>
      <c r="E16" s="485">
        <f t="shared" ref="E16:E24" si="15">D16-C16</f>
        <v>0</v>
      </c>
      <c r="F16" s="457">
        <f t="shared" si="13"/>
        <v>0</v>
      </c>
      <c r="G16" s="463">
        <f t="shared" si="14"/>
        <v>100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522.1</v>
      </c>
      <c r="E17" s="487">
        <f t="shared" si="15"/>
        <v>2.8000000000000682</v>
      </c>
      <c r="F17" s="457">
        <f t="shared" si="13"/>
        <v>1.0260168559912302</v>
      </c>
      <c r="G17" s="475">
        <f t="shared" si="14"/>
        <v>98.97398314400877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514.20000000000005</v>
      </c>
      <c r="E18" s="488">
        <f t="shared" si="15"/>
        <v>8.0000000000000568</v>
      </c>
      <c r="F18" s="457">
        <f t="shared" si="13"/>
        <v>2.9314767314034635</v>
      </c>
      <c r="G18" s="475">
        <f t="shared" si="14"/>
        <v>96.042506412605306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411.4</v>
      </c>
      <c r="E19" s="487">
        <f t="shared" si="15"/>
        <v>27.599999999999966</v>
      </c>
      <c r="F19" s="457">
        <f t="shared" si="13"/>
        <v>10.113594723341865</v>
      </c>
      <c r="G19" s="475">
        <f t="shared" si="14"/>
        <v>85.928911689263444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445</v>
      </c>
      <c r="E20" s="488">
        <f t="shared" si="15"/>
        <v>68.800000000000011</v>
      </c>
      <c r="F20" s="457">
        <f t="shared" si="13"/>
        <v>25.210699890069616</v>
      </c>
      <c r="G20" s="475">
        <f t="shared" si="14"/>
        <v>60.718211799193824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0.62329999999999997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405.3</v>
      </c>
      <c r="E21" s="487">
        <f t="shared" si="15"/>
        <v>74.5</v>
      </c>
      <c r="F21" s="457">
        <f t="shared" si="13"/>
        <v>27.299377061194562</v>
      </c>
      <c r="G21" s="475">
        <f t="shared" si="14"/>
        <v>33.418834737999262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0.20080000000000001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390.6</v>
      </c>
      <c r="E22" s="488">
        <f t="shared" si="15"/>
        <v>64.5</v>
      </c>
      <c r="F22" s="457">
        <f t="shared" si="13"/>
        <v>23.635031146940257</v>
      </c>
      <c r="G22" s="475">
        <f t="shared" si="14"/>
        <v>9.7838035910590051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3.1040836653386452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312.5</v>
      </c>
      <c r="E23" s="487">
        <f t="shared" si="15"/>
        <v>8.1000000000000227</v>
      </c>
      <c r="F23" s="457">
        <f t="shared" si="13"/>
        <v>2.9681201905459944</v>
      </c>
      <c r="G23" s="490">
        <f t="shared" si="14"/>
        <v>6.8156834005130111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315.2</v>
      </c>
      <c r="E24" s="488">
        <f t="shared" si="15"/>
        <v>1.5</v>
      </c>
      <c r="F24" s="492">
        <f t="shared" si="13"/>
        <v>0.5496518871381455</v>
      </c>
      <c r="G24" s="493">
        <f t="shared" si="14"/>
        <v>6.2660315133748661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4.8175100671999993E-4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367.6</v>
      </c>
      <c r="E25" s="496">
        <f>D25-C25+(G6-C26)</f>
        <v>17.100000000000023</v>
      </c>
      <c r="F25" s="457">
        <f t="shared" si="13"/>
        <v>6.266031513374867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256.5</v>
      </c>
      <c r="D26" s="498" t="s">
        <v>19</v>
      </c>
      <c r="E26" s="499">
        <f>SUM(E12:E25)</f>
        <v>272.90000000000015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0.59999999999985221</v>
      </c>
      <c r="F27" s="505">
        <f>IF((E27/G6*100)&gt;1,"Fehler zu groß",(E27/G6*100))</f>
        <v>0.21937842778788014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3.4283833779200003E-5</v>
      </c>
      <c r="X27" s="276" t="str">
        <f>IF(W22&lt;5.000001,"OK","U größer 5")</f>
        <v>OK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3.8489999999999998E-4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Q1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147</v>
      </c>
      <c r="D3" s="385" t="s">
        <v>25</v>
      </c>
      <c r="E3" s="387">
        <v>40049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372">
        <v>22</v>
      </c>
      <c r="L4" s="409">
        <v>1.016</v>
      </c>
      <c r="M4" s="407">
        <f t="shared" ref="M4:M12" si="1">(L4-1)*1000</f>
        <v>16.000000000000014</v>
      </c>
      <c r="N4" s="407">
        <f t="shared" ref="N4:N12" si="2">M4+$G$33</f>
        <v>17.499999999999961</v>
      </c>
      <c r="O4" s="410">
        <v>0.4</v>
      </c>
      <c r="P4" s="411">
        <f t="shared" ref="P4:P12" si="3">N4+O4</f>
        <v>17.899999999999959</v>
      </c>
      <c r="Q4" s="412">
        <f t="shared" ref="Q4:Q12" si="4">((18.35*V4/($F$34-W4))*Z4)^0.5</f>
        <v>6.9068611809350283E-2</v>
      </c>
      <c r="R4" s="407">
        <f t="shared" ref="R4:R12" si="5">$F$36*P4</f>
        <v>82.610588645071232</v>
      </c>
      <c r="S4" s="413">
        <f t="shared" ref="S4:S12" si="6">$G$24/100*R4</f>
        <v>39.981170907031327</v>
      </c>
      <c r="U4" s="414">
        <f t="shared" ref="U4:U12" si="7">1+0.001*N4</f>
        <v>1.0175000000000001</v>
      </c>
      <c r="V4" s="415">
        <f>0.00178/(1+0.0337*K5+0.00022*K5^2)</f>
        <v>9.6326601294456345E-4</v>
      </c>
      <c r="W4" s="414">
        <f>1/(1+((2.31*K5-2)^2-182)*0.00001)</f>
        <v>0.9784602504104436</v>
      </c>
      <c r="X4" s="416">
        <f t="shared" ref="X4:X12" si="8">4142.8*(1.03-U4)/10</f>
        <v>5.1784999999999819</v>
      </c>
      <c r="Y4" s="417">
        <f t="shared" ref="Y4:Y12" si="9">X4+$AB$5+0.5*($AC$5-$AD$5/$AE$5)</f>
        <v>13.533717665612258</v>
      </c>
      <c r="Z4" s="418">
        <f t="shared" ref="Z4:Z12" si="10">Y4/I4</f>
        <v>0.45112392218707525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>
        <v>22</v>
      </c>
      <c r="L5" s="409">
        <v>1.01</v>
      </c>
      <c r="M5" s="407">
        <f t="shared" si="1"/>
        <v>10.000000000000009</v>
      </c>
      <c r="N5" s="407">
        <f t="shared" si="2"/>
        <v>11.499999999999954</v>
      </c>
      <c r="O5" s="410">
        <v>0.4</v>
      </c>
      <c r="P5" s="411">
        <f t="shared" si="3"/>
        <v>11.899999999999954</v>
      </c>
      <c r="Q5" s="412">
        <f t="shared" si="4"/>
        <v>5.3134948579084532E-2</v>
      </c>
      <c r="R5" s="407">
        <f t="shared" si="5"/>
        <v>54.919888540577993</v>
      </c>
      <c r="S5" s="413">
        <f t="shared" si="6"/>
        <v>26.579661105791732</v>
      </c>
      <c r="U5" s="414">
        <f t="shared" si="7"/>
        <v>1.0114999999999998</v>
      </c>
      <c r="V5" s="415">
        <f t="shared" ref="V5:V12" si="11">0.00178/(1+0.0337*K5+0.00022*K5^2)</f>
        <v>9.6326601294456345E-4</v>
      </c>
      <c r="W5" s="414">
        <f t="shared" ref="W5:W12" si="12">1/(1+((2.31*K5-2)^2-182)*0.00001)</f>
        <v>0.9784602504104436</v>
      </c>
      <c r="X5" s="416">
        <f t="shared" si="8"/>
        <v>7.6641800000000755</v>
      </c>
      <c r="Y5" s="417">
        <f t="shared" si="9"/>
        <v>16.019397665612352</v>
      </c>
      <c r="Z5" s="418">
        <f t="shared" si="10"/>
        <v>0.26698996109353923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>
        <v>6.3</v>
      </c>
      <c r="D6" s="433"/>
      <c r="E6" s="401" t="s">
        <v>41</v>
      </c>
      <c r="F6" s="434"/>
      <c r="G6" s="435">
        <v>225.2</v>
      </c>
      <c r="I6" s="406">
        <f t="shared" si="0"/>
        <v>120</v>
      </c>
      <c r="J6" s="426">
        <v>2</v>
      </c>
      <c r="K6" s="408">
        <v>22</v>
      </c>
      <c r="L6" s="409">
        <v>1.008</v>
      </c>
      <c r="M6" s="407">
        <f t="shared" si="1"/>
        <v>8.0000000000000071</v>
      </c>
      <c r="N6" s="407">
        <f t="shared" si="2"/>
        <v>9.4999999999999538</v>
      </c>
      <c r="O6" s="410">
        <v>0.4</v>
      </c>
      <c r="P6" s="411">
        <f t="shared" si="3"/>
        <v>9.8999999999999542</v>
      </c>
      <c r="Q6" s="412">
        <f t="shared" si="4"/>
        <v>3.8531490310680531E-2</v>
      </c>
      <c r="R6" s="407">
        <f t="shared" si="5"/>
        <v>45.689655172413588</v>
      </c>
      <c r="S6" s="413">
        <f t="shared" si="6"/>
        <v>22.112491172045203</v>
      </c>
      <c r="U6" s="414">
        <f t="shared" si="7"/>
        <v>1.0095000000000001</v>
      </c>
      <c r="V6" s="415">
        <f t="shared" si="11"/>
        <v>9.6326601294456345E-4</v>
      </c>
      <c r="W6" s="414">
        <f t="shared" si="12"/>
        <v>0.9784602504104436</v>
      </c>
      <c r="X6" s="416">
        <f t="shared" si="8"/>
        <v>8.4927399999999853</v>
      </c>
      <c r="Y6" s="417">
        <f t="shared" si="9"/>
        <v>16.847957665612263</v>
      </c>
      <c r="Z6" s="418">
        <f t="shared" si="10"/>
        <v>0.14039964721343554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>
        <v>22</v>
      </c>
      <c r="L7" s="409">
        <v>1.0069999999999999</v>
      </c>
      <c r="M7" s="407">
        <f t="shared" si="1"/>
        <v>6.9999999999998952</v>
      </c>
      <c r="N7" s="407">
        <f t="shared" si="2"/>
        <v>8.4999999999998401</v>
      </c>
      <c r="O7" s="410">
        <v>0.4</v>
      </c>
      <c r="P7" s="411">
        <f t="shared" si="3"/>
        <v>8.8999999999998405</v>
      </c>
      <c r="Q7" s="412">
        <f t="shared" si="4"/>
        <v>2.4667248960657352E-2</v>
      </c>
      <c r="R7" s="407">
        <f t="shared" si="5"/>
        <v>41.074538488330859</v>
      </c>
      <c r="S7" s="413">
        <f t="shared" si="6"/>
        <v>19.878906205171685</v>
      </c>
      <c r="U7" s="414">
        <f t="shared" si="7"/>
        <v>1.0084999999999997</v>
      </c>
      <c r="V7" s="415">
        <f t="shared" si="11"/>
        <v>9.6326601294456345E-4</v>
      </c>
      <c r="W7" s="414">
        <f t="shared" si="12"/>
        <v>0.9784602504104436</v>
      </c>
      <c r="X7" s="416">
        <f t="shared" si="8"/>
        <v>8.9070200000001236</v>
      </c>
      <c r="Y7" s="417">
        <f t="shared" si="9"/>
        <v>17.2622376656124</v>
      </c>
      <c r="Z7" s="418">
        <f t="shared" si="10"/>
        <v>5.7540792218707996E-2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>
        <v>22</v>
      </c>
      <c r="L8" s="409">
        <v>1.0044999999999999</v>
      </c>
      <c r="M8" s="407">
        <f t="shared" si="1"/>
        <v>4.4999999999999485</v>
      </c>
      <c r="N8" s="407">
        <f t="shared" si="2"/>
        <v>5.9999999999998943</v>
      </c>
      <c r="O8" s="410">
        <v>0.4</v>
      </c>
      <c r="P8" s="411">
        <f t="shared" si="3"/>
        <v>6.3999999999998947</v>
      </c>
      <c r="Q8" s="412">
        <f t="shared" si="4"/>
        <v>1.4662654988582375E-2</v>
      </c>
      <c r="R8" s="407">
        <f t="shared" si="5"/>
        <v>29.536746778125607</v>
      </c>
      <c r="S8" s="413">
        <f t="shared" si="6"/>
        <v>14.29494378798865</v>
      </c>
      <c r="U8" s="414">
        <f t="shared" si="7"/>
        <v>1.0059999999999998</v>
      </c>
      <c r="V8" s="415">
        <f t="shared" si="11"/>
        <v>9.6326601294456345E-4</v>
      </c>
      <c r="W8" s="414">
        <f t="shared" si="12"/>
        <v>0.9784602504104436</v>
      </c>
      <c r="X8" s="416">
        <f t="shared" si="8"/>
        <v>9.9427200000001008</v>
      </c>
      <c r="Y8" s="417">
        <f t="shared" si="9"/>
        <v>18.297937665612377</v>
      </c>
      <c r="Z8" s="418">
        <f t="shared" si="10"/>
        <v>2.033104185068042E-2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>
        <v>22</v>
      </c>
      <c r="L9" s="409">
        <v>1.0024999999999999</v>
      </c>
      <c r="M9" s="407">
        <f t="shared" si="1"/>
        <v>2.4999999999999467</v>
      </c>
      <c r="N9" s="407">
        <f t="shared" si="2"/>
        <v>3.9999999999998925</v>
      </c>
      <c r="O9" s="410">
        <v>0.4</v>
      </c>
      <c r="P9" s="411">
        <f t="shared" si="3"/>
        <v>4.3999999999998929</v>
      </c>
      <c r="Q9" s="412">
        <f t="shared" si="4"/>
        <v>8.6550312924977297E-3</v>
      </c>
      <c r="R9" s="407">
        <f t="shared" si="5"/>
        <v>20.306513409961195</v>
      </c>
      <c r="S9" s="413">
        <f t="shared" si="6"/>
        <v>9.8277738542421194</v>
      </c>
      <c r="U9" s="414">
        <f t="shared" si="7"/>
        <v>1.004</v>
      </c>
      <c r="V9" s="415">
        <f t="shared" si="11"/>
        <v>9.6326601294456345E-4</v>
      </c>
      <c r="W9" s="414">
        <f t="shared" si="12"/>
        <v>0.9784602504104436</v>
      </c>
      <c r="X9" s="416">
        <f t="shared" si="8"/>
        <v>10.77128000000001</v>
      </c>
      <c r="Y9" s="417">
        <f t="shared" si="9"/>
        <v>19.126497665612284</v>
      </c>
      <c r="Z9" s="418">
        <f t="shared" si="10"/>
        <v>7.083888024300846E-3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>
        <v>22</v>
      </c>
      <c r="L10" s="409">
        <v>1.002</v>
      </c>
      <c r="M10" s="407">
        <f t="shared" si="1"/>
        <v>2.0000000000000018</v>
      </c>
      <c r="N10" s="407">
        <f t="shared" si="2"/>
        <v>3.4999999999999476</v>
      </c>
      <c r="O10" s="410">
        <v>0.4</v>
      </c>
      <c r="P10" s="411">
        <f t="shared" si="3"/>
        <v>3.8999999999999475</v>
      </c>
      <c r="Q10" s="412">
        <f t="shared" si="4"/>
        <v>5.3287253658752922E-3</v>
      </c>
      <c r="R10" s="407">
        <f t="shared" si="5"/>
        <v>17.998955067920345</v>
      </c>
      <c r="S10" s="413">
        <f t="shared" si="6"/>
        <v>8.7109813708056105</v>
      </c>
      <c r="U10" s="414">
        <f t="shared" si="7"/>
        <v>1.0034999999999998</v>
      </c>
      <c r="V10" s="415">
        <f t="shared" si="11"/>
        <v>9.6326601294456345E-4</v>
      </c>
      <c r="W10" s="414">
        <f t="shared" si="12"/>
        <v>0.9784602504104436</v>
      </c>
      <c r="X10" s="416">
        <f t="shared" si="8"/>
        <v>10.97842000000008</v>
      </c>
      <c r="Y10" s="417">
        <f t="shared" si="9"/>
        <v>19.333637665612358</v>
      </c>
      <c r="Z10" s="418">
        <f t="shared" si="10"/>
        <v>2.6852274535572717E-3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>
        <v>22</v>
      </c>
      <c r="L11" s="409">
        <v>1.0009999999999999</v>
      </c>
      <c r="M11" s="407">
        <f t="shared" si="1"/>
        <v>0.99999999999988987</v>
      </c>
      <c r="N11" s="407">
        <f t="shared" si="2"/>
        <v>2.4999999999998357</v>
      </c>
      <c r="O11" s="410">
        <v>0.4</v>
      </c>
      <c r="P11" s="411">
        <f t="shared" si="3"/>
        <v>2.8999999999998356</v>
      </c>
      <c r="Q11" s="412">
        <f t="shared" si="4"/>
        <v>3.1093282805766823E-3</v>
      </c>
      <c r="R11" s="407">
        <f t="shared" si="5"/>
        <v>13.383838383837627</v>
      </c>
      <c r="S11" s="413">
        <f t="shared" si="6"/>
        <v>6.4773964039320964</v>
      </c>
      <c r="U11" s="414">
        <f t="shared" si="7"/>
        <v>1.0024999999999999</v>
      </c>
      <c r="V11" s="415">
        <f t="shared" si="11"/>
        <v>9.6326601294456345E-4</v>
      </c>
      <c r="W11" s="414">
        <f t="shared" si="12"/>
        <v>0.9784602504104436</v>
      </c>
      <c r="X11" s="416">
        <f t="shared" si="8"/>
        <v>11.392700000000033</v>
      </c>
      <c r="Y11" s="417">
        <f t="shared" si="9"/>
        <v>19.747917665612309</v>
      </c>
      <c r="Z11" s="418">
        <f t="shared" si="10"/>
        <v>9.1425544748205141E-4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2">
        <v>22</v>
      </c>
      <c r="L12" s="466">
        <v>1</v>
      </c>
      <c r="M12" s="467">
        <f t="shared" si="1"/>
        <v>0</v>
      </c>
      <c r="N12" s="467">
        <f t="shared" si="2"/>
        <v>1.4999999999999458</v>
      </c>
      <c r="O12" s="851">
        <v>0.4</v>
      </c>
      <c r="P12" s="468">
        <f t="shared" si="3"/>
        <v>1.8999999999999457</v>
      </c>
      <c r="Q12" s="469">
        <f t="shared" si="4"/>
        <v>1.5708866952945427E-3</v>
      </c>
      <c r="R12" s="467">
        <f t="shared" si="5"/>
        <v>8.7687216997559325</v>
      </c>
      <c r="S12" s="470">
        <f t="shared" si="6"/>
        <v>4.2438114370590787</v>
      </c>
      <c r="U12" s="414">
        <f t="shared" si="7"/>
        <v>1.0015000000000001</v>
      </c>
      <c r="V12" s="415">
        <f t="shared" si="11"/>
        <v>9.6326601294456345E-4</v>
      </c>
      <c r="W12" s="414">
        <f t="shared" si="12"/>
        <v>0.9784602504104436</v>
      </c>
      <c r="X12" s="416">
        <f t="shared" si="8"/>
        <v>11.806979999999989</v>
      </c>
      <c r="Y12" s="417">
        <f t="shared" si="9"/>
        <v>20.162197665612265</v>
      </c>
      <c r="Z12" s="418">
        <f t="shared" si="10"/>
        <v>2.3335876927791974E-4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3"/>
        <v>0</v>
      </c>
      <c r="G15" s="480">
        <f t="shared" si="14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631.6</v>
      </c>
      <c r="E16" s="485">
        <f t="shared" ref="E16:E24" si="15">D16-C16</f>
        <v>1.2000000000000455</v>
      </c>
      <c r="F16" s="457">
        <f t="shared" si="13"/>
        <v>0.53428317008016246</v>
      </c>
      <c r="G16" s="463">
        <f t="shared" si="14"/>
        <v>99.465716829919842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520.70000000000005</v>
      </c>
      <c r="E17" s="487">
        <f t="shared" si="15"/>
        <v>1.4000000000000909</v>
      </c>
      <c r="F17" s="457">
        <f t="shared" si="13"/>
        <v>0.62333036509353967</v>
      </c>
      <c r="G17" s="475">
        <f t="shared" si="14"/>
        <v>98.842386464826305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509.1</v>
      </c>
      <c r="E18" s="488">
        <f t="shared" si="15"/>
        <v>2.9000000000000341</v>
      </c>
      <c r="F18" s="457">
        <f t="shared" si="13"/>
        <v>1.2911843276936921</v>
      </c>
      <c r="G18" s="475">
        <f t="shared" si="14"/>
        <v>97.551202137132606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391</v>
      </c>
      <c r="E19" s="487">
        <f t="shared" si="15"/>
        <v>7.1999999999999886</v>
      </c>
      <c r="F19" s="457">
        <f t="shared" si="13"/>
        <v>3.2056990204808478</v>
      </c>
      <c r="G19" s="475">
        <f t="shared" si="14"/>
        <v>94.345503116651756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393.9</v>
      </c>
      <c r="E20" s="488">
        <f t="shared" si="15"/>
        <v>17.699999999999989</v>
      </c>
      <c r="F20" s="457">
        <f t="shared" si="13"/>
        <v>7.8806767586820907</v>
      </c>
      <c r="G20" s="475">
        <f t="shared" si="14"/>
        <v>86.46482635796967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355.8</v>
      </c>
      <c r="E21" s="487">
        <f t="shared" si="15"/>
        <v>25</v>
      </c>
      <c r="F21" s="457">
        <f t="shared" si="13"/>
        <v>11.130899376669628</v>
      </c>
      <c r="G21" s="475">
        <f t="shared" si="14"/>
        <v>75.333926981300039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363.7</v>
      </c>
      <c r="E22" s="488">
        <f t="shared" si="15"/>
        <v>37.599999999999966</v>
      </c>
      <c r="F22" s="457">
        <f t="shared" si="13"/>
        <v>16.740872662511105</v>
      </c>
      <c r="G22" s="475">
        <f t="shared" si="14"/>
        <v>58.59305431878893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318.2</v>
      </c>
      <c r="E23" s="487">
        <f t="shared" si="15"/>
        <v>13.800000000000011</v>
      </c>
      <c r="F23" s="457">
        <f t="shared" si="13"/>
        <v>6.1442564559216404</v>
      </c>
      <c r="G23" s="490">
        <f t="shared" si="14"/>
        <v>52.448797862867288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322.8</v>
      </c>
      <c r="E24" s="488">
        <f t="shared" si="15"/>
        <v>9.1000000000000227</v>
      </c>
      <c r="F24" s="492">
        <f t="shared" si="13"/>
        <v>4.0516473731077554</v>
      </c>
      <c r="G24" s="493">
        <f t="shared" si="14"/>
        <v>48.397150489759532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368</v>
      </c>
      <c r="E25" s="496">
        <f>D25-C25+(G6-C26)</f>
        <v>108.69999999999999</v>
      </c>
      <c r="F25" s="457">
        <f t="shared" si="13"/>
        <v>48.397150489759539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117</v>
      </c>
      <c r="D26" s="498" t="s">
        <v>19</v>
      </c>
      <c r="E26" s="499">
        <f>SUM(E12:E25)</f>
        <v>224.60000000000014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0.59999999999985221</v>
      </c>
      <c r="F27" s="505">
        <f>IF((E27/G6*100)&gt;1,"Fehler zu groß",(E27/G6*100))</f>
        <v>0.26642984014203031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>
        <v>34.799999999999997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4.615116684082202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148</v>
      </c>
      <c r="D3" s="385" t="s">
        <v>25</v>
      </c>
      <c r="E3" s="387">
        <v>40049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372">
        <v>22</v>
      </c>
      <c r="L4" s="409">
        <v>1.006</v>
      </c>
      <c r="M4" s="407">
        <f t="shared" ref="M4:M12" si="1">(L4-1)*1000</f>
        <v>6.0000000000000053</v>
      </c>
      <c r="N4" s="407">
        <f t="shared" ref="N4:N12" si="2">M4+$G$33</f>
        <v>7.4999999999999512</v>
      </c>
      <c r="O4" s="410">
        <v>0.4</v>
      </c>
      <c r="P4" s="411">
        <f t="shared" ref="P4:P12" si="3">N4+O4</f>
        <v>7.8999999999999515</v>
      </c>
      <c r="Q4" s="412">
        <f t="shared" ref="Q4:Q12" si="4">((18.35*V4/($F$34-W4))*Z4)^0.5</f>
        <v>7.9048481999168418E-2</v>
      </c>
      <c r="R4" s="407">
        <f t="shared" ref="R4:R12" si="5">$F$36*P4</f>
        <v>33.565816899150029</v>
      </c>
      <c r="S4" s="413">
        <f t="shared" ref="S4:S12" si="6">$G$24/100*R4</f>
        <v>24.844567530156894</v>
      </c>
      <c r="U4" s="414">
        <f t="shared" ref="U4:U12" si="7">1+0.001*N4</f>
        <v>1.0074999999999998</v>
      </c>
      <c r="V4" s="415">
        <f>0.00178/(1+0.0337*K5+0.00022*K5^2)</f>
        <v>9.6326601294456345E-4</v>
      </c>
      <c r="W4" s="414">
        <f>1/(1+((2.31*K5-2)^2-182)*0.00001)</f>
        <v>0.9784602504104436</v>
      </c>
      <c r="X4" s="416">
        <f t="shared" ref="X4:X12" si="8">4142.8*(1.03-U4)/10</f>
        <v>9.3213000000000772</v>
      </c>
      <c r="Y4" s="417">
        <f t="shared" ref="Y4:Y12" si="9">X4+$AB$5+0.5*($AC$5-$AD$5/$AE$5)</f>
        <v>17.727305387853001</v>
      </c>
      <c r="Z4" s="418">
        <f t="shared" ref="Z4:Z12" si="10">Y4/I4</f>
        <v>0.59091017959510006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>
        <v>22</v>
      </c>
      <c r="L5" s="409">
        <v>1.0049999999999999</v>
      </c>
      <c r="M5" s="407">
        <f t="shared" si="1"/>
        <v>4.9999999999998934</v>
      </c>
      <c r="N5" s="407">
        <f t="shared" si="2"/>
        <v>6.4999999999998392</v>
      </c>
      <c r="O5" s="410">
        <v>0.4</v>
      </c>
      <c r="P5" s="411">
        <f t="shared" si="3"/>
        <v>6.8999999999998396</v>
      </c>
      <c r="Q5" s="412">
        <f t="shared" si="4"/>
        <v>5.6545075988078002E-2</v>
      </c>
      <c r="R5" s="407">
        <f t="shared" si="5"/>
        <v>29.316979316978639</v>
      </c>
      <c r="S5" s="413">
        <f t="shared" si="6"/>
        <v>21.699685564313882</v>
      </c>
      <c r="U5" s="414">
        <f t="shared" si="7"/>
        <v>1.0065</v>
      </c>
      <c r="V5" s="415">
        <f t="shared" ref="V5:V12" si="11">0.00178/(1+0.0337*K5+0.00022*K5^2)</f>
        <v>9.6326601294456345E-4</v>
      </c>
      <c r="W5" s="414">
        <f t="shared" ref="W5:W12" si="12">1/(1+((2.31*K5-2)^2-182)*0.00001)</f>
        <v>0.9784602504104436</v>
      </c>
      <c r="X5" s="416">
        <f t="shared" si="8"/>
        <v>9.7355800000000308</v>
      </c>
      <c r="Y5" s="417">
        <f t="shared" si="9"/>
        <v>18.141585387852956</v>
      </c>
      <c r="Z5" s="418">
        <f t="shared" si="10"/>
        <v>0.30235975646421592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4</v>
      </c>
      <c r="D6" s="433"/>
      <c r="E6" s="401" t="s">
        <v>41</v>
      </c>
      <c r="F6" s="434"/>
      <c r="G6" s="435">
        <v>229.2</v>
      </c>
      <c r="I6" s="406">
        <f t="shared" si="0"/>
        <v>120</v>
      </c>
      <c r="J6" s="426">
        <v>2</v>
      </c>
      <c r="K6" s="408">
        <v>22</v>
      </c>
      <c r="L6" s="409">
        <v>1.004</v>
      </c>
      <c r="M6" s="407">
        <f t="shared" si="1"/>
        <v>4.0000000000000036</v>
      </c>
      <c r="N6" s="407">
        <f t="shared" si="2"/>
        <v>5.4999999999999494</v>
      </c>
      <c r="O6" s="410">
        <v>0.4</v>
      </c>
      <c r="P6" s="411">
        <f t="shared" si="3"/>
        <v>5.8999999999999497</v>
      </c>
      <c r="Q6" s="412">
        <f t="shared" si="4"/>
        <v>4.0437358864103649E-2</v>
      </c>
      <c r="R6" s="407">
        <f t="shared" si="5"/>
        <v>25.06814173480819</v>
      </c>
      <c r="S6" s="413">
        <f t="shared" si="6"/>
        <v>18.554803598471562</v>
      </c>
      <c r="U6" s="414">
        <f t="shared" si="7"/>
        <v>1.0055000000000001</v>
      </c>
      <c r="V6" s="415">
        <f t="shared" si="11"/>
        <v>9.6326601294456345E-4</v>
      </c>
      <c r="W6" s="414">
        <f t="shared" si="12"/>
        <v>0.9784602504104436</v>
      </c>
      <c r="X6" s="416">
        <f t="shared" si="8"/>
        <v>10.149859999999986</v>
      </c>
      <c r="Y6" s="417">
        <f t="shared" si="9"/>
        <v>18.555865387852911</v>
      </c>
      <c r="Z6" s="418">
        <f t="shared" si="10"/>
        <v>0.15463221156544094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>
        <v>22</v>
      </c>
      <c r="L7" s="409">
        <v>1.0029999999999999</v>
      </c>
      <c r="M7" s="407">
        <f t="shared" si="1"/>
        <v>2.9999999999998916</v>
      </c>
      <c r="N7" s="407">
        <f t="shared" si="2"/>
        <v>4.4999999999998375</v>
      </c>
      <c r="O7" s="410">
        <v>0.4</v>
      </c>
      <c r="P7" s="411">
        <f t="shared" si="3"/>
        <v>4.8999999999998378</v>
      </c>
      <c r="Q7" s="412">
        <f t="shared" si="4"/>
        <v>2.5858748419518397E-2</v>
      </c>
      <c r="R7" s="407">
        <f t="shared" si="5"/>
        <v>20.8193041526368</v>
      </c>
      <c r="S7" s="413">
        <f t="shared" si="6"/>
        <v>15.409921632628546</v>
      </c>
      <c r="U7" s="414">
        <f t="shared" si="7"/>
        <v>1.0044999999999997</v>
      </c>
      <c r="V7" s="415">
        <f t="shared" si="11"/>
        <v>9.6326601294456345E-4</v>
      </c>
      <c r="W7" s="414">
        <f t="shared" si="12"/>
        <v>0.9784602504104436</v>
      </c>
      <c r="X7" s="416">
        <f t="shared" si="8"/>
        <v>10.564140000000126</v>
      </c>
      <c r="Y7" s="417">
        <f t="shared" si="9"/>
        <v>18.970145387853051</v>
      </c>
      <c r="Z7" s="418">
        <f t="shared" si="10"/>
        <v>6.3233817959510177E-2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>
        <v>22</v>
      </c>
      <c r="L8" s="409">
        <v>1.0024999999999999</v>
      </c>
      <c r="M8" s="407">
        <f t="shared" si="1"/>
        <v>2.4999999999999467</v>
      </c>
      <c r="N8" s="407">
        <f t="shared" si="2"/>
        <v>3.9999999999998925</v>
      </c>
      <c r="O8" s="410">
        <v>0.4</v>
      </c>
      <c r="P8" s="411">
        <f t="shared" si="3"/>
        <v>4.3999999999998929</v>
      </c>
      <c r="Q8" s="412">
        <f t="shared" si="4"/>
        <v>1.5010843928696466E-2</v>
      </c>
      <c r="R8" s="407">
        <f t="shared" si="5"/>
        <v>18.694885361551574</v>
      </c>
      <c r="S8" s="413">
        <f t="shared" si="6"/>
        <v>13.837480649707386</v>
      </c>
      <c r="U8" s="414">
        <f t="shared" si="7"/>
        <v>1.004</v>
      </c>
      <c r="V8" s="415">
        <f t="shared" si="11"/>
        <v>9.6326601294456345E-4</v>
      </c>
      <c r="W8" s="414">
        <f t="shared" si="12"/>
        <v>0.9784602504104436</v>
      </c>
      <c r="X8" s="416">
        <f t="shared" si="8"/>
        <v>10.77128000000001</v>
      </c>
      <c r="Y8" s="417">
        <f t="shared" si="9"/>
        <v>19.177285387852933</v>
      </c>
      <c r="Z8" s="418">
        <f t="shared" si="10"/>
        <v>2.1308094875392147E-2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>
        <v>22</v>
      </c>
      <c r="L9" s="409">
        <v>1.002</v>
      </c>
      <c r="M9" s="407">
        <f t="shared" si="1"/>
        <v>2.0000000000000018</v>
      </c>
      <c r="N9" s="407">
        <f t="shared" si="2"/>
        <v>3.4999999999999476</v>
      </c>
      <c r="O9" s="410">
        <v>0.4</v>
      </c>
      <c r="P9" s="411">
        <f t="shared" si="3"/>
        <v>3.8999999999999475</v>
      </c>
      <c r="Q9" s="412">
        <f t="shared" si="4"/>
        <v>8.7131939729110618E-3</v>
      </c>
      <c r="R9" s="407">
        <f t="shared" si="5"/>
        <v>16.570466570466348</v>
      </c>
      <c r="S9" s="413">
        <f t="shared" si="6"/>
        <v>12.265039666786224</v>
      </c>
      <c r="U9" s="414">
        <f t="shared" si="7"/>
        <v>1.0034999999999998</v>
      </c>
      <c r="V9" s="415">
        <f t="shared" si="11"/>
        <v>9.6326601294456345E-4</v>
      </c>
      <c r="W9" s="414">
        <f t="shared" si="12"/>
        <v>0.9784602504104436</v>
      </c>
      <c r="X9" s="416">
        <f t="shared" si="8"/>
        <v>10.97842000000008</v>
      </c>
      <c r="Y9" s="417">
        <f t="shared" si="9"/>
        <v>19.384425387853003</v>
      </c>
      <c r="Z9" s="418">
        <f t="shared" si="10"/>
        <v>7.1794168103159273E-3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>
        <v>22</v>
      </c>
      <c r="L10" s="409">
        <v>1.002</v>
      </c>
      <c r="M10" s="407">
        <f t="shared" si="1"/>
        <v>2.0000000000000018</v>
      </c>
      <c r="N10" s="407">
        <f t="shared" si="2"/>
        <v>3.4999999999999476</v>
      </c>
      <c r="O10" s="410">
        <v>0.4</v>
      </c>
      <c r="P10" s="411">
        <f t="shared" si="3"/>
        <v>3.8999999999999475</v>
      </c>
      <c r="Q10" s="412">
        <f t="shared" si="4"/>
        <v>5.3357198158814631E-3</v>
      </c>
      <c r="R10" s="407">
        <f t="shared" si="5"/>
        <v>16.570466570466348</v>
      </c>
      <c r="S10" s="413">
        <f t="shared" si="6"/>
        <v>12.265039666786224</v>
      </c>
      <c r="U10" s="414">
        <f t="shared" si="7"/>
        <v>1.0034999999999998</v>
      </c>
      <c r="V10" s="415">
        <f t="shared" si="11"/>
        <v>9.6326601294456345E-4</v>
      </c>
      <c r="W10" s="414">
        <f t="shared" si="12"/>
        <v>0.9784602504104436</v>
      </c>
      <c r="X10" s="416">
        <f t="shared" si="8"/>
        <v>10.97842000000008</v>
      </c>
      <c r="Y10" s="417">
        <f t="shared" si="9"/>
        <v>19.384425387853003</v>
      </c>
      <c r="Z10" s="418">
        <f t="shared" si="10"/>
        <v>2.6922813038684728E-3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>
        <v>22</v>
      </c>
      <c r="L11" s="409">
        <v>1.0015000000000001</v>
      </c>
      <c r="M11" s="407">
        <f t="shared" si="1"/>
        <v>1.5000000000000568</v>
      </c>
      <c r="N11" s="407">
        <f t="shared" si="2"/>
        <v>3.0000000000000027</v>
      </c>
      <c r="O11" s="410">
        <v>0.4</v>
      </c>
      <c r="P11" s="411">
        <f t="shared" si="3"/>
        <v>3.4000000000000026</v>
      </c>
      <c r="Q11" s="412">
        <f t="shared" si="4"/>
        <v>3.0969949131224779E-3</v>
      </c>
      <c r="R11" s="407">
        <f t="shared" si="5"/>
        <v>14.446047779381125</v>
      </c>
      <c r="S11" s="413">
        <f t="shared" si="6"/>
        <v>10.692598683865066</v>
      </c>
      <c r="U11" s="414">
        <f t="shared" si="7"/>
        <v>1.0030000000000001</v>
      </c>
      <c r="V11" s="415">
        <f t="shared" si="11"/>
        <v>9.6326601294456345E-4</v>
      </c>
      <c r="W11" s="414">
        <f t="shared" si="12"/>
        <v>0.9784602504104436</v>
      </c>
      <c r="X11" s="416">
        <f t="shared" si="8"/>
        <v>11.185559999999963</v>
      </c>
      <c r="Y11" s="417">
        <f t="shared" si="9"/>
        <v>19.591565387852889</v>
      </c>
      <c r="Z11" s="418">
        <f t="shared" si="10"/>
        <v>9.0701691610430035E-4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2">
        <v>22</v>
      </c>
      <c r="L12" s="466">
        <v>1.0009999999999999</v>
      </c>
      <c r="M12" s="467">
        <f t="shared" si="1"/>
        <v>0.99999999999988987</v>
      </c>
      <c r="N12" s="467">
        <f t="shared" si="2"/>
        <v>2.4999999999998357</v>
      </c>
      <c r="O12" s="851">
        <v>0.4</v>
      </c>
      <c r="P12" s="468">
        <f t="shared" si="3"/>
        <v>2.8999999999998356</v>
      </c>
      <c r="Q12" s="469">
        <f t="shared" si="4"/>
        <v>1.5566620002923238E-3</v>
      </c>
      <c r="R12" s="467">
        <f t="shared" si="5"/>
        <v>12.321628988294957</v>
      </c>
      <c r="S12" s="470">
        <f t="shared" si="6"/>
        <v>9.12015770094321</v>
      </c>
      <c r="U12" s="414">
        <f t="shared" si="7"/>
        <v>1.0024999999999999</v>
      </c>
      <c r="V12" s="415">
        <f t="shared" si="11"/>
        <v>9.6326601294456345E-4</v>
      </c>
      <c r="W12" s="414">
        <f t="shared" si="12"/>
        <v>0.9784602504104436</v>
      </c>
      <c r="X12" s="416">
        <f t="shared" si="8"/>
        <v>11.392700000000033</v>
      </c>
      <c r="Y12" s="417">
        <f t="shared" si="9"/>
        <v>19.798705387852955</v>
      </c>
      <c r="Z12" s="418">
        <f t="shared" si="10"/>
        <v>2.2915168272977956E-4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0</v>
      </c>
      <c r="E15" s="462">
        <f>D15</f>
        <v>0</v>
      </c>
      <c r="F15" s="479">
        <f t="shared" si="13"/>
        <v>0</v>
      </c>
      <c r="G15" s="480">
        <f t="shared" si="14"/>
        <v>100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630.4</v>
      </c>
      <c r="E16" s="485">
        <f t="shared" ref="E16:E24" si="15">D16-C16</f>
        <v>0</v>
      </c>
      <c r="F16" s="457">
        <f t="shared" si="13"/>
        <v>0</v>
      </c>
      <c r="G16" s="463">
        <f t="shared" si="14"/>
        <v>100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519.4</v>
      </c>
      <c r="E17" s="487">
        <f t="shared" si="15"/>
        <v>0.10000000000002274</v>
      </c>
      <c r="F17" s="457">
        <f t="shared" si="13"/>
        <v>4.3668122270752285E-2</v>
      </c>
      <c r="G17" s="475">
        <f t="shared" si="14"/>
        <v>99.956331877729241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506.9</v>
      </c>
      <c r="E18" s="488">
        <f t="shared" si="15"/>
        <v>0.69999999999998863</v>
      </c>
      <c r="F18" s="457">
        <f t="shared" si="13"/>
        <v>0.3056768558951915</v>
      </c>
      <c r="G18" s="475">
        <f t="shared" si="14"/>
        <v>99.650655021834055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384.2</v>
      </c>
      <c r="E19" s="487">
        <f t="shared" si="15"/>
        <v>0.39999999999997726</v>
      </c>
      <c r="F19" s="457">
        <f t="shared" si="13"/>
        <v>0.17467248908295951</v>
      </c>
      <c r="G19" s="475">
        <f t="shared" si="14"/>
        <v>99.47598253275109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377.3</v>
      </c>
      <c r="E20" s="488">
        <f t="shared" si="15"/>
        <v>1.1000000000000227</v>
      </c>
      <c r="F20" s="457">
        <f t="shared" si="13"/>
        <v>0.48034934497817583</v>
      </c>
      <c r="G20" s="475">
        <f t="shared" si="14"/>
        <v>98.99563318777291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334</v>
      </c>
      <c r="E21" s="487">
        <f t="shared" si="15"/>
        <v>3.1999999999999886</v>
      </c>
      <c r="F21" s="457">
        <f t="shared" si="13"/>
        <v>1.3973799126637505</v>
      </c>
      <c r="G21" s="475">
        <f t="shared" si="14"/>
        <v>97.598253275109158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352.5</v>
      </c>
      <c r="E22" s="488">
        <f t="shared" si="15"/>
        <v>26.399999999999977</v>
      </c>
      <c r="F22" s="457">
        <f t="shared" si="13"/>
        <v>11.528384279475972</v>
      </c>
      <c r="G22" s="475">
        <f t="shared" si="14"/>
        <v>86.069868995633186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319.39999999999998</v>
      </c>
      <c r="E23" s="487">
        <f t="shared" si="15"/>
        <v>15</v>
      </c>
      <c r="F23" s="457">
        <f t="shared" si="13"/>
        <v>6.5502183406113534</v>
      </c>
      <c r="G23" s="490">
        <f t="shared" si="14"/>
        <v>79.519650655021834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326.3</v>
      </c>
      <c r="E24" s="488">
        <f t="shared" si="15"/>
        <v>12.600000000000023</v>
      </c>
      <c r="F24" s="492">
        <f t="shared" si="13"/>
        <v>5.5021834061135468</v>
      </c>
      <c r="G24" s="493">
        <f t="shared" si="14"/>
        <v>74.017467248908289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382.5</v>
      </c>
      <c r="E25" s="496">
        <f>D25-C25+(G6-C26)</f>
        <v>169.5</v>
      </c>
      <c r="F25" s="457">
        <f t="shared" si="13"/>
        <v>74.017467248908304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74.7</v>
      </c>
      <c r="D26" s="498" t="s">
        <v>19</v>
      </c>
      <c r="E26" s="499">
        <f>SUM(E12:E25)</f>
        <v>229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0.19999999999998863</v>
      </c>
      <c r="F27" s="505">
        <f>IF((E27/G6*100)&gt;1,"Fehler zu groß",(E27/G6*100))</f>
        <v>8.7260034904009007E-2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>
        <v>37.799999999999997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4.2488375821709159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149</v>
      </c>
      <c r="D3" s="385" t="s">
        <v>25</v>
      </c>
      <c r="E3" s="387">
        <v>40049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326.7</v>
      </c>
      <c r="I6" s="406">
        <f t="shared" si="0"/>
        <v>120</v>
      </c>
      <c r="J6" s="426">
        <v>2</v>
      </c>
      <c r="K6" s="408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2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47.8</v>
      </c>
      <c r="E13" s="474">
        <f>D13</f>
        <v>47.8</v>
      </c>
      <c r="F13" s="457">
        <f t="shared" si="13"/>
        <v>14.703168255921245</v>
      </c>
      <c r="G13" s="475">
        <f t="shared" si="14"/>
        <v>85.296831744078759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85.296831744078759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14</v>
      </c>
      <c r="E15" s="462">
        <f>D15</f>
        <v>14</v>
      </c>
      <c r="F15" s="479">
        <f t="shared" si="13"/>
        <v>4.3063672716087336</v>
      </c>
      <c r="G15" s="480">
        <f t="shared" si="14"/>
        <v>80.990464472470023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634</v>
      </c>
      <c r="E16" s="485">
        <f t="shared" ref="E16:E24" si="15">D16-C16</f>
        <v>3.6000000000000227</v>
      </c>
      <c r="F16" s="457">
        <f t="shared" si="13"/>
        <v>1.1073515841279671</v>
      </c>
      <c r="G16" s="463">
        <f t="shared" si="14"/>
        <v>79.883112888342055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525.20000000000005</v>
      </c>
      <c r="E17" s="487">
        <f t="shared" si="15"/>
        <v>5.9000000000000909</v>
      </c>
      <c r="F17" s="457">
        <f t="shared" si="13"/>
        <v>1.8148262073208514</v>
      </c>
      <c r="G17" s="475">
        <f t="shared" si="14"/>
        <v>78.068286681021206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522.70000000000005</v>
      </c>
      <c r="E18" s="488">
        <f t="shared" si="15"/>
        <v>16.500000000000057</v>
      </c>
      <c r="F18" s="457">
        <f t="shared" si="13"/>
        <v>5.0753614272531671</v>
      </c>
      <c r="G18" s="475">
        <f t="shared" si="14"/>
        <v>72.992925253768036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418.3</v>
      </c>
      <c r="E19" s="487">
        <f t="shared" si="15"/>
        <v>34.5</v>
      </c>
      <c r="F19" s="457">
        <f t="shared" si="13"/>
        <v>10.61211934789295</v>
      </c>
      <c r="G19" s="475">
        <f t="shared" si="14"/>
        <v>62.380805905875086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435.1</v>
      </c>
      <c r="E20" s="488">
        <f t="shared" si="15"/>
        <v>58.900000000000034</v>
      </c>
      <c r="F20" s="457">
        <f t="shared" si="13"/>
        <v>18.117502306982466</v>
      </c>
      <c r="G20" s="475">
        <f t="shared" si="14"/>
        <v>44.26330359889262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0.95089999999999997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386.4</v>
      </c>
      <c r="E21" s="487">
        <f t="shared" si="15"/>
        <v>55.599999999999966</v>
      </c>
      <c r="F21" s="457">
        <f t="shared" si="13"/>
        <v>17.102430021531816</v>
      </c>
      <c r="G21" s="475">
        <f t="shared" si="14"/>
        <v>27.160873577360803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0.1789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378.1</v>
      </c>
      <c r="E22" s="488">
        <f t="shared" si="15"/>
        <v>52</v>
      </c>
      <c r="F22" s="457">
        <f t="shared" si="13"/>
        <v>15.995078437403867</v>
      </c>
      <c r="G22" s="475">
        <f t="shared" si="14"/>
        <v>11.165795139956936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5.3152599217439906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322.8</v>
      </c>
      <c r="E23" s="487">
        <f t="shared" si="15"/>
        <v>18.400000000000034</v>
      </c>
      <c r="F23" s="457">
        <f t="shared" si="13"/>
        <v>5.6597969855429167</v>
      </c>
      <c r="G23" s="490">
        <f t="shared" si="14"/>
        <v>5.5059981544140193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317.89999999999998</v>
      </c>
      <c r="E24" s="488">
        <f t="shared" si="15"/>
        <v>4.1999999999999886</v>
      </c>
      <c r="F24" s="492">
        <f t="shared" si="13"/>
        <v>1.2919101814826166</v>
      </c>
      <c r="G24" s="493">
        <f t="shared" si="14"/>
        <v>4.2140879729314022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3.8239824907999989E-4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369</v>
      </c>
      <c r="E25" s="496">
        <f>D25-C25+(G6-C26)</f>
        <v>13.699999999999989</v>
      </c>
      <c r="F25" s="457">
        <f t="shared" si="13"/>
        <v>4.2140879729313996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314.5</v>
      </c>
      <c r="D26" s="498" t="s">
        <v>19</v>
      </c>
      <c r="E26" s="499">
        <f>SUM(E12:E25)</f>
        <v>325.10000000000019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1.5999999999997954</v>
      </c>
      <c r="F27" s="505">
        <f>IF((E27/G6*100)&gt;1,"Fehler zu groß",(E27/G6*100))</f>
        <v>0.48974594429133622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2.7213389958799998E-5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2.7349999999999998E-4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150</v>
      </c>
      <c r="D3" s="385" t="s">
        <v>25</v>
      </c>
      <c r="E3" s="387"/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280.8</v>
      </c>
      <c r="I6" s="406">
        <f t="shared" si="0"/>
        <v>120</v>
      </c>
      <c r="J6" s="426">
        <v>2</v>
      </c>
      <c r="K6" s="408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2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46</v>
      </c>
      <c r="E13" s="474">
        <f>D13</f>
        <v>46</v>
      </c>
      <c r="F13" s="457">
        <f t="shared" si="13"/>
        <v>16.41098822689974</v>
      </c>
      <c r="G13" s="475">
        <f t="shared" si="14"/>
        <v>83.589011773100253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14.7</v>
      </c>
      <c r="E14" s="474">
        <f>D14</f>
        <v>14.7</v>
      </c>
      <c r="F14" s="457">
        <f t="shared" si="13"/>
        <v>5.2443810203353518</v>
      </c>
      <c r="G14" s="475">
        <f t="shared" si="14"/>
        <v>78.3446307527649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17.399999999999999</v>
      </c>
      <c r="E15" s="462">
        <f>D15</f>
        <v>17.399999999999999</v>
      </c>
      <c r="F15" s="479">
        <f t="shared" si="13"/>
        <v>6.2076346771316402</v>
      </c>
      <c r="G15" s="480">
        <f t="shared" si="14"/>
        <v>72.136996075633263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630.70000000000005</v>
      </c>
      <c r="E16" s="485">
        <f t="shared" ref="E16:E24" si="15">D16-C16</f>
        <v>0.30000000000006821</v>
      </c>
      <c r="F16" s="457">
        <f t="shared" si="13"/>
        <v>0.1070281840885009</v>
      </c>
      <c r="G16" s="463">
        <f t="shared" si="14"/>
        <v>72.029967891544757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525.79999999999995</v>
      </c>
      <c r="E17" s="487">
        <f t="shared" si="15"/>
        <v>6.5</v>
      </c>
      <c r="F17" s="457">
        <f t="shared" si="13"/>
        <v>2.3189439885836589</v>
      </c>
      <c r="G17" s="475">
        <f t="shared" si="14"/>
        <v>69.711023902961102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529.5</v>
      </c>
      <c r="E18" s="488">
        <f t="shared" si="15"/>
        <v>23.300000000000011</v>
      </c>
      <c r="F18" s="457">
        <f t="shared" si="13"/>
        <v>8.3125222975383508</v>
      </c>
      <c r="G18" s="475">
        <f t="shared" si="14"/>
        <v>61.398501605422751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417</v>
      </c>
      <c r="E19" s="487">
        <f t="shared" si="15"/>
        <v>33.199999999999989</v>
      </c>
      <c r="F19" s="457">
        <f t="shared" si="13"/>
        <v>11.844452372458068</v>
      </c>
      <c r="G19" s="475">
        <f t="shared" si="14"/>
        <v>49.554049232964687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407.6</v>
      </c>
      <c r="E20" s="488">
        <f t="shared" si="15"/>
        <v>31.400000000000034</v>
      </c>
      <c r="F20" s="457">
        <f t="shared" si="13"/>
        <v>11.202283267927225</v>
      </c>
      <c r="G20" s="475">
        <f t="shared" si="14"/>
        <v>38.351765965037458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1.8729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349.6</v>
      </c>
      <c r="E21" s="487">
        <f t="shared" si="15"/>
        <v>18.800000000000011</v>
      </c>
      <c r="F21" s="457">
        <f t="shared" si="13"/>
        <v>6.7070995362112011</v>
      </c>
      <c r="G21" s="475">
        <f t="shared" si="14"/>
        <v>31.644666428826255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6.9800000000000001E-2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356.4</v>
      </c>
      <c r="E22" s="488">
        <f t="shared" si="15"/>
        <v>30.299999999999955</v>
      </c>
      <c r="F22" s="457">
        <f t="shared" si="13"/>
        <v>10.809846592936116</v>
      </c>
      <c r="G22" s="475">
        <f t="shared" si="14"/>
        <v>20.834819835890137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26.832378223495702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321.60000000000002</v>
      </c>
      <c r="E23" s="487">
        <f t="shared" si="15"/>
        <v>17.200000000000045</v>
      </c>
      <c r="F23" s="457">
        <f t="shared" si="13"/>
        <v>6.136282554406006</v>
      </c>
      <c r="G23" s="490">
        <f t="shared" si="14"/>
        <v>14.698537281484132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330.5</v>
      </c>
      <c r="E24" s="488">
        <f t="shared" si="15"/>
        <v>16.800000000000011</v>
      </c>
      <c r="F24" s="492">
        <f t="shared" si="13"/>
        <v>5.9935783089546915</v>
      </c>
      <c r="G24" s="493">
        <f t="shared" si="14"/>
        <v>8.7049589725294396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5.821113391999999E-5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370.1</v>
      </c>
      <c r="E25" s="496">
        <f>D25-C25+(G6-C26)</f>
        <v>24.400000000000034</v>
      </c>
      <c r="F25" s="457">
        <f t="shared" si="13"/>
        <v>8.7049589725294396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259</v>
      </c>
      <c r="D26" s="498" t="s">
        <v>19</v>
      </c>
      <c r="E26" s="499">
        <f>SUM(E12:E25)</f>
        <v>280.30000000000018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0.49999999999982947</v>
      </c>
      <c r="F27" s="505">
        <f>IF((E27/G6*100)&gt;1,"Fehler zu groß",(E27/G6*100))</f>
        <v>0.17806267806261733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4.1425981711999999E-6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1.6310000000000001E-4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151</v>
      </c>
      <c r="D3" s="385" t="s">
        <v>25</v>
      </c>
      <c r="E3" s="387">
        <v>40039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 t="shared" ref="V4:V11" si="8">0.00178/(1+0.0337*K5+0.00022*K5^2)</f>
        <v>1.7799999999999999E-3</v>
      </c>
      <c r="W4" s="414">
        <f t="shared" ref="W4:W11" si="9">1/(1+((2.31*K5-2)^2-182)*0.00001)</f>
        <v>1.0017831740498087</v>
      </c>
      <c r="X4" s="416">
        <f t="shared" ref="X4:X12" si="10">4142.8*(1.03-U4)/10</f>
        <v>426.08698000000015</v>
      </c>
      <c r="Y4" s="417" t="e">
        <f t="shared" ref="Y4:Y12" si="11">X4+$AB$5+0.5*($AC$5-$AD$5/$AE$5)</f>
        <v>#DIV/0!</v>
      </c>
      <c r="Z4" s="418" t="e">
        <f t="shared" ref="Z4:Z12" si="12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si="8"/>
        <v>1.7799999999999999E-3</v>
      </c>
      <c r="W5" s="414">
        <f t="shared" si="9"/>
        <v>1.0017831740498087</v>
      </c>
      <c r="X5" s="416">
        <f t="shared" si="10"/>
        <v>426.08698000000015</v>
      </c>
      <c r="Y5" s="417" t="e">
        <f t="shared" si="11"/>
        <v>#DIV/0!</v>
      </c>
      <c r="Z5" s="418" t="e">
        <f t="shared" si="12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337.2</v>
      </c>
      <c r="I6" s="406">
        <f t="shared" si="0"/>
        <v>120</v>
      </c>
      <c r="J6" s="426">
        <v>2</v>
      </c>
      <c r="K6" s="408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8"/>
        <v>1.7799999999999999E-3</v>
      </c>
      <c r="W6" s="414">
        <f t="shared" si="9"/>
        <v>1.0017831740498087</v>
      </c>
      <c r="X6" s="416">
        <f t="shared" si="10"/>
        <v>426.08698000000015</v>
      </c>
      <c r="Y6" s="417" t="e">
        <f t="shared" si="11"/>
        <v>#DIV/0!</v>
      </c>
      <c r="Z6" s="418" t="e">
        <f t="shared" si="12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8"/>
        <v>1.7799999999999999E-3</v>
      </c>
      <c r="W7" s="414">
        <f t="shared" si="9"/>
        <v>1.0017831740498087</v>
      </c>
      <c r="X7" s="416">
        <f t="shared" si="10"/>
        <v>426.08698000000015</v>
      </c>
      <c r="Y7" s="417" t="e">
        <f t="shared" si="11"/>
        <v>#DIV/0!</v>
      </c>
      <c r="Z7" s="418" t="e">
        <f t="shared" si="12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8"/>
        <v>1.7799999999999999E-3</v>
      </c>
      <c r="W8" s="414">
        <f t="shared" si="9"/>
        <v>1.0017831740498087</v>
      </c>
      <c r="X8" s="416">
        <f t="shared" si="10"/>
        <v>426.08698000000015</v>
      </c>
      <c r="Y8" s="417" t="e">
        <f t="shared" si="11"/>
        <v>#DIV/0!</v>
      </c>
      <c r="Z8" s="418" t="e">
        <f t="shared" si="12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8"/>
        <v>1.7799999999999999E-3</v>
      </c>
      <c r="W9" s="414">
        <f t="shared" si="9"/>
        <v>1.0017831740498087</v>
      </c>
      <c r="X9" s="416">
        <f t="shared" si="10"/>
        <v>426.08698000000015</v>
      </c>
      <c r="Y9" s="417" t="e">
        <f t="shared" si="11"/>
        <v>#DIV/0!</v>
      </c>
      <c r="Z9" s="418" t="e">
        <f t="shared" si="12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8"/>
        <v>1.7799999999999999E-3</v>
      </c>
      <c r="W10" s="414">
        <f t="shared" si="9"/>
        <v>1.0017831740498087</v>
      </c>
      <c r="X10" s="416">
        <f t="shared" si="10"/>
        <v>426.08698000000015</v>
      </c>
      <c r="Y10" s="417" t="e">
        <f t="shared" si="11"/>
        <v>#DIV/0!</v>
      </c>
      <c r="Z10" s="418" t="e">
        <f t="shared" si="12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8"/>
        <v>1.7799999999999999E-3</v>
      </c>
      <c r="W11" s="414">
        <f t="shared" si="9"/>
        <v>1.0017831740498087</v>
      </c>
      <c r="X11" s="416">
        <f t="shared" si="10"/>
        <v>426.08698000000015</v>
      </c>
      <c r="Y11" s="417" t="e">
        <f t="shared" si="11"/>
        <v>#DIV/0!</v>
      </c>
      <c r="Z11" s="418" t="e">
        <f t="shared" si="12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408"/>
      <c r="L12" s="409"/>
      <c r="M12" s="467">
        <f t="shared" si="1"/>
        <v>-1000</v>
      </c>
      <c r="N12" s="467">
        <f t="shared" si="2"/>
        <v>-998.5</v>
      </c>
      <c r="O12" s="410"/>
      <c r="P12" s="468">
        <f t="shared" si="3"/>
        <v>-998.5</v>
      </c>
      <c r="Q12" s="469" t="e">
        <f t="shared" si="4"/>
        <v>#REF!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10"/>
        <v>426.08698000000015</v>
      </c>
      <c r="Y12" s="417" t="e">
        <f t="shared" si="11"/>
        <v>#DIV/0!</v>
      </c>
      <c r="Z12" s="418" t="e">
        <f t="shared" si="12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81.900000000000006</v>
      </c>
      <c r="E13" s="474">
        <f>D13</f>
        <v>81.900000000000006</v>
      </c>
      <c r="F13" s="457">
        <f t="shared" si="13"/>
        <v>24.396782841823047</v>
      </c>
      <c r="G13" s="475">
        <f t="shared" si="14"/>
        <v>75.60321715817696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22.1</v>
      </c>
      <c r="E14" s="474">
        <f>D14</f>
        <v>22.1</v>
      </c>
      <c r="F14" s="457">
        <f t="shared" si="13"/>
        <v>6.5832588620792345</v>
      </c>
      <c r="G14" s="475">
        <f t="shared" si="14"/>
        <v>69.019958296097727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5.8</v>
      </c>
      <c r="E15" s="462">
        <f>D15</f>
        <v>5.8</v>
      </c>
      <c r="F15" s="479">
        <f t="shared" si="13"/>
        <v>1.7277330950253194</v>
      </c>
      <c r="G15" s="480">
        <f t="shared" si="14"/>
        <v>67.292225201072412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634.4</v>
      </c>
      <c r="E16" s="485">
        <f t="shared" ref="E16:E24" si="15">D16-C16</f>
        <v>4</v>
      </c>
      <c r="F16" s="457">
        <f t="shared" si="13"/>
        <v>1.191540065534703</v>
      </c>
      <c r="G16" s="463">
        <f t="shared" si="14"/>
        <v>66.100685135537702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532.20000000000005</v>
      </c>
      <c r="E17" s="487">
        <f t="shared" si="15"/>
        <v>12.900000000000091</v>
      </c>
      <c r="F17" s="457">
        <f t="shared" si="13"/>
        <v>3.842716711349444</v>
      </c>
      <c r="G17" s="475">
        <f t="shared" si="14"/>
        <v>62.257968424188256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542</v>
      </c>
      <c r="E18" s="488">
        <f t="shared" si="15"/>
        <v>35.800000000000011</v>
      </c>
      <c r="F18" s="457">
        <f t="shared" si="13"/>
        <v>10.664283586535596</v>
      </c>
      <c r="G18" s="475">
        <f t="shared" si="14"/>
        <v>51.59368483765266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409.4</v>
      </c>
      <c r="E19" s="487">
        <f t="shared" si="15"/>
        <v>25.599999999999966</v>
      </c>
      <c r="F19" s="457">
        <f t="shared" si="13"/>
        <v>7.6258564194220888</v>
      </c>
      <c r="G19" s="475">
        <f t="shared" si="14"/>
        <v>43.967828418230567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411.3</v>
      </c>
      <c r="E20" s="488">
        <f t="shared" si="15"/>
        <v>35.100000000000023</v>
      </c>
      <c r="F20" s="457">
        <f t="shared" si="13"/>
        <v>10.455764075067025</v>
      </c>
      <c r="G20" s="475">
        <f t="shared" si="14"/>
        <v>33.512064343163544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3.5701000000000001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352.2</v>
      </c>
      <c r="E21" s="487">
        <f t="shared" si="15"/>
        <v>21.399999999999977</v>
      </c>
      <c r="F21" s="457">
        <f t="shared" si="13"/>
        <v>6.3747393506106542</v>
      </c>
      <c r="G21" s="475">
        <f t="shared" si="14"/>
        <v>27.137324992552891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0.1164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364.6</v>
      </c>
      <c r="E22" s="488">
        <f t="shared" si="15"/>
        <v>38.5</v>
      </c>
      <c r="F22" s="457">
        <f t="shared" si="13"/>
        <v>11.468573130771517</v>
      </c>
      <c r="G22" s="475">
        <f t="shared" si="14"/>
        <v>15.668751861781374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30.670962199312715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327</v>
      </c>
      <c r="E23" s="487">
        <f t="shared" si="15"/>
        <v>22.600000000000023</v>
      </c>
      <c r="F23" s="457">
        <f t="shared" si="13"/>
        <v>6.7322013702710795</v>
      </c>
      <c r="G23" s="490">
        <f t="shared" si="14"/>
        <v>8.9365504915102942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323.10000000000002</v>
      </c>
      <c r="E24" s="488">
        <f t="shared" si="15"/>
        <v>9.4000000000000341</v>
      </c>
      <c r="F24" s="492">
        <f t="shared" si="13"/>
        <v>2.8001191540065622</v>
      </c>
      <c r="G24" s="493">
        <f t="shared" si="14"/>
        <v>6.1364313375037316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1.6188297407999998E-4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368.3</v>
      </c>
      <c r="E25" s="496">
        <f>D25-C25+(G6-C26)</f>
        <v>20.600000000000023</v>
      </c>
      <c r="F25" s="457">
        <f t="shared" si="13"/>
        <v>6.1364313375037272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317.39999999999998</v>
      </c>
      <c r="D26" s="498" t="s">
        <v>19</v>
      </c>
      <c r="E26" s="499">
        <f>SUM(E12:E25)</f>
        <v>335.70000000000016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1.4999999999998295</v>
      </c>
      <c r="F27" s="505">
        <f>IF((E27/G6*100)&gt;1,"Fehler zu groß",(E27/G6*100))</f>
        <v>0.44483985765119505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1.1520409708800001E-5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2.8919999999999998E-4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Y20" sqref="Y2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152</v>
      </c>
      <c r="D3" s="385" t="s">
        <v>25</v>
      </c>
      <c r="E3" s="387"/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8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341.9</v>
      </c>
      <c r="I6" s="406">
        <f t="shared" si="0"/>
        <v>120</v>
      </c>
      <c r="J6" s="426">
        <v>2</v>
      </c>
      <c r="K6" s="408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8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8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8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8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408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2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56.3</v>
      </c>
      <c r="E14" s="474">
        <f>D14</f>
        <v>56.3</v>
      </c>
      <c r="F14" s="457">
        <f t="shared" si="13"/>
        <v>16.529653552554315</v>
      </c>
      <c r="G14" s="475">
        <f t="shared" si="14"/>
        <v>83.470346447445678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54.3</v>
      </c>
      <c r="E15" s="462">
        <f>D15</f>
        <v>54.3</v>
      </c>
      <c r="F15" s="479">
        <f t="shared" si="13"/>
        <v>15.942454492072811</v>
      </c>
      <c r="G15" s="480">
        <f t="shared" si="14"/>
        <v>67.527891955372866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640.9</v>
      </c>
      <c r="E16" s="485">
        <f t="shared" ref="E16:E24" si="15">D16-C16</f>
        <v>10.5</v>
      </c>
      <c r="F16" s="457">
        <f t="shared" si="13"/>
        <v>3.0827950675278917</v>
      </c>
      <c r="G16" s="463">
        <f t="shared" si="14"/>
        <v>64.445096887844969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545.79999999999995</v>
      </c>
      <c r="E17" s="487">
        <f t="shared" si="15"/>
        <v>26.5</v>
      </c>
      <c r="F17" s="457">
        <f t="shared" si="13"/>
        <v>7.7803875513799179</v>
      </c>
      <c r="G17" s="475">
        <f t="shared" si="14"/>
        <v>56.664709336465052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544.20000000000005</v>
      </c>
      <c r="E18" s="488">
        <f t="shared" si="15"/>
        <v>38.000000000000057</v>
      </c>
      <c r="F18" s="457">
        <f t="shared" si="13"/>
        <v>11.156782149148576</v>
      </c>
      <c r="G18" s="475">
        <f t="shared" si="14"/>
        <v>45.507927187316476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410.3</v>
      </c>
      <c r="E19" s="487">
        <f t="shared" si="15"/>
        <v>26.5</v>
      </c>
      <c r="F19" s="457">
        <f t="shared" si="13"/>
        <v>7.7803875513799179</v>
      </c>
      <c r="G19" s="475">
        <f t="shared" si="14"/>
        <v>37.727539635936559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399.1</v>
      </c>
      <c r="E20" s="488">
        <f t="shared" si="15"/>
        <v>22.900000000000034</v>
      </c>
      <c r="F20" s="457">
        <f t="shared" si="13"/>
        <v>6.7234292425132223</v>
      </c>
      <c r="G20" s="475">
        <f t="shared" si="14"/>
        <v>31.004110393423336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4.9730999999999996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365.2</v>
      </c>
      <c r="E21" s="487">
        <f t="shared" si="15"/>
        <v>34.399999999999977</v>
      </c>
      <c r="F21" s="457">
        <f t="shared" si="13"/>
        <v>10.099823840281848</v>
      </c>
      <c r="G21" s="475">
        <f t="shared" si="14"/>
        <v>20.904286553141489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0.1721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359.2</v>
      </c>
      <c r="E22" s="488">
        <f t="shared" si="15"/>
        <v>33.099999999999966</v>
      </c>
      <c r="F22" s="457">
        <f t="shared" si="13"/>
        <v>9.7181444509688664</v>
      </c>
      <c r="G22" s="475">
        <f t="shared" si="14"/>
        <v>11.186142102172623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28.896571760604296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318.89999999999998</v>
      </c>
      <c r="E23" s="487">
        <f t="shared" si="15"/>
        <v>14.5</v>
      </c>
      <c r="F23" s="457">
        <f t="shared" si="13"/>
        <v>4.2571931884908976</v>
      </c>
      <c r="G23" s="490">
        <f t="shared" si="14"/>
        <v>6.9289489136817251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318.3</v>
      </c>
      <c r="E24" s="488">
        <f t="shared" si="15"/>
        <v>4.6000000000000227</v>
      </c>
      <c r="F24" s="492">
        <f t="shared" si="13"/>
        <v>1.350557839107464</v>
      </c>
      <c r="G24" s="493">
        <f t="shared" si="14"/>
        <v>5.5783910745742613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3.5388076267999993E-4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370.4</v>
      </c>
      <c r="E25" s="496">
        <f>D25-C25+(G6-C26)</f>
        <v>18.999999999999943</v>
      </c>
      <c r="F25" s="457">
        <f t="shared" si="13"/>
        <v>5.5783910745742631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325.8</v>
      </c>
      <c r="D26" s="498" t="s">
        <v>19</v>
      </c>
      <c r="E26" s="499">
        <f>SUM(E12:E25)</f>
        <v>340.6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1.2999999999999545</v>
      </c>
      <c r="F27" s="505">
        <f>IF((E27/G6*100)&gt;1,"Fehler zu groß",(E27/G6*100))</f>
        <v>0.38022813688211599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2.5183941654800002E-5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4.0670000000000002E-4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L4:L12 K5:K12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153</v>
      </c>
      <c r="D3" s="385" t="s">
        <v>25</v>
      </c>
      <c r="E3" s="387">
        <v>40060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409"/>
      <c r="L4" s="409"/>
      <c r="M4" s="407">
        <f>(L4-1)*1000</f>
        <v>-1000</v>
      </c>
      <c r="N4" s="407">
        <f t="shared" ref="N4:N12" si="1">M4+$G$33</f>
        <v>-998.5</v>
      </c>
      <c r="O4" s="410"/>
      <c r="P4" s="411">
        <f t="shared" ref="P4:P12" si="2">N4+O4</f>
        <v>-998.5</v>
      </c>
      <c r="Q4" s="412" t="e">
        <f t="shared" ref="Q4:Q12" si="3">((18.35*V4/($F$34-W4))*Z4)^0.5</f>
        <v>#DIV/0!</v>
      </c>
      <c r="R4" s="407" t="e">
        <f t="shared" ref="R4:R12" si="4">$F$36*P4</f>
        <v>#DIV/0!</v>
      </c>
      <c r="S4" s="413" t="e">
        <f t="shared" ref="S4:S12" si="5">$G$24/100*R4</f>
        <v>#DIV/0!</v>
      </c>
      <c r="U4" s="414">
        <f t="shared" ref="U4:U12" si="6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7">4142.8*(1.03-U4)/10</f>
        <v>426.08698000000015</v>
      </c>
      <c r="Y4" s="417" t="e">
        <f t="shared" ref="Y4:Y12" si="8">X4+$AB$5+0.5*($AC$5-$AD$5/$AE$5)</f>
        <v>#DIV/0!</v>
      </c>
      <c r="Z4" s="418" t="e">
        <f t="shared" ref="Z4:Z12" si="9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9"/>
      <c r="L5" s="409"/>
      <c r="M5" s="407">
        <f>(L5-1)*1000</f>
        <v>-1000</v>
      </c>
      <c r="N5" s="407">
        <f t="shared" si="1"/>
        <v>-998.5</v>
      </c>
      <c r="O5" s="410"/>
      <c r="P5" s="411">
        <f t="shared" si="2"/>
        <v>-998.5</v>
      </c>
      <c r="Q5" s="412" t="e">
        <f t="shared" si="3"/>
        <v>#DIV/0!</v>
      </c>
      <c r="R5" s="407" t="e">
        <f t="shared" si="4"/>
        <v>#DIV/0!</v>
      </c>
      <c r="S5" s="413" t="e">
        <f t="shared" si="5"/>
        <v>#DIV/0!</v>
      </c>
      <c r="U5" s="414">
        <f t="shared" si="6"/>
        <v>1.4999999999999458E-3</v>
      </c>
      <c r="V5" s="415">
        <f t="shared" ref="V5:V11" si="10">0.00178/(1+0.0337*K5+0.00022*K5^2)</f>
        <v>1.7799999999999999E-3</v>
      </c>
      <c r="W5" s="414">
        <f t="shared" ref="W5:W11" si="11">1/(1+((2.31*K5-2)^2-182)*0.00001)</f>
        <v>1.0017831740498087</v>
      </c>
      <c r="X5" s="416">
        <f t="shared" si="7"/>
        <v>426.08698000000015</v>
      </c>
      <c r="Y5" s="417" t="e">
        <f t="shared" si="8"/>
        <v>#DIV/0!</v>
      </c>
      <c r="Z5" s="418" t="e">
        <f t="shared" si="9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410.7</v>
      </c>
      <c r="I6" s="406">
        <f t="shared" si="0"/>
        <v>120</v>
      </c>
      <c r="J6" s="426">
        <v>2</v>
      </c>
      <c r="K6" s="409"/>
      <c r="L6" s="409"/>
      <c r="M6" s="407">
        <f>(L6-1)*1000</f>
        <v>-1000</v>
      </c>
      <c r="N6" s="407">
        <f t="shared" si="1"/>
        <v>-998.5</v>
      </c>
      <c r="O6" s="410"/>
      <c r="P6" s="411">
        <f t="shared" si="2"/>
        <v>-998.5</v>
      </c>
      <c r="Q6" s="412" t="e">
        <f t="shared" si="3"/>
        <v>#DIV/0!</v>
      </c>
      <c r="R6" s="407" t="e">
        <f t="shared" si="4"/>
        <v>#DIV/0!</v>
      </c>
      <c r="S6" s="413" t="e">
        <f t="shared" si="5"/>
        <v>#DIV/0!</v>
      </c>
      <c r="U6" s="414">
        <f t="shared" si="6"/>
        <v>1.4999999999999458E-3</v>
      </c>
      <c r="V6" s="415">
        <f t="shared" si="10"/>
        <v>1.7799999999999999E-3</v>
      </c>
      <c r="W6" s="414">
        <f t="shared" si="11"/>
        <v>1.0017831740498087</v>
      </c>
      <c r="X6" s="416">
        <f t="shared" si="7"/>
        <v>426.08698000000015</v>
      </c>
      <c r="Y6" s="417" t="e">
        <f t="shared" si="8"/>
        <v>#DIV/0!</v>
      </c>
      <c r="Z6" s="418" t="e">
        <f t="shared" si="9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9"/>
      <c r="L7" s="409"/>
      <c r="M7" s="407">
        <f>(L7-1)*1000</f>
        <v>-1000</v>
      </c>
      <c r="N7" s="407">
        <f t="shared" si="1"/>
        <v>-998.5</v>
      </c>
      <c r="O7" s="410"/>
      <c r="P7" s="411">
        <f t="shared" si="2"/>
        <v>-998.5</v>
      </c>
      <c r="Q7" s="412" t="e">
        <f t="shared" si="3"/>
        <v>#DIV/0!</v>
      </c>
      <c r="R7" s="407" t="e">
        <f t="shared" si="4"/>
        <v>#DIV/0!</v>
      </c>
      <c r="S7" s="413" t="e">
        <f t="shared" si="5"/>
        <v>#DIV/0!</v>
      </c>
      <c r="U7" s="414">
        <f t="shared" si="6"/>
        <v>1.4999999999999458E-3</v>
      </c>
      <c r="V7" s="415">
        <f t="shared" si="10"/>
        <v>1.7799999999999999E-3</v>
      </c>
      <c r="W7" s="414">
        <f t="shared" si="11"/>
        <v>1.0017831740498087</v>
      </c>
      <c r="X7" s="416">
        <f t="shared" si="7"/>
        <v>426.08698000000015</v>
      </c>
      <c r="Y7" s="417" t="e">
        <f t="shared" si="8"/>
        <v>#DIV/0!</v>
      </c>
      <c r="Z7" s="418" t="e">
        <f t="shared" si="9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9"/>
      <c r="L8" s="409"/>
      <c r="M8" s="407">
        <f>(L8-1)*1000</f>
        <v>-1000</v>
      </c>
      <c r="N8" s="407">
        <f t="shared" si="1"/>
        <v>-998.5</v>
      </c>
      <c r="O8" s="410"/>
      <c r="P8" s="411">
        <f t="shared" si="2"/>
        <v>-998.5</v>
      </c>
      <c r="Q8" s="412" t="e">
        <f t="shared" si="3"/>
        <v>#DIV/0!</v>
      </c>
      <c r="R8" s="407" t="e">
        <f t="shared" si="4"/>
        <v>#DIV/0!</v>
      </c>
      <c r="S8" s="413" t="e">
        <f t="shared" si="5"/>
        <v>#DIV/0!</v>
      </c>
      <c r="U8" s="414">
        <f t="shared" si="6"/>
        <v>1.4999999999999458E-3</v>
      </c>
      <c r="V8" s="415">
        <f t="shared" si="10"/>
        <v>1.7799999999999999E-3</v>
      </c>
      <c r="W8" s="414">
        <f t="shared" si="11"/>
        <v>1.0017831740498087</v>
      </c>
      <c r="X8" s="416">
        <f t="shared" si="7"/>
        <v>426.08698000000015</v>
      </c>
      <c r="Y8" s="417" t="e">
        <f t="shared" si="8"/>
        <v>#DIV/0!</v>
      </c>
      <c r="Z8" s="418" t="e">
        <f t="shared" si="9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9"/>
      <c r="L9" s="409"/>
      <c r="M9" s="407">
        <f>(K4-1)*1000</f>
        <v>-1000</v>
      </c>
      <c r="N9" s="407">
        <f t="shared" si="1"/>
        <v>-998.5</v>
      </c>
      <c r="O9" s="410"/>
      <c r="P9" s="411">
        <f t="shared" si="2"/>
        <v>-998.5</v>
      </c>
      <c r="Q9" s="412" t="e">
        <f t="shared" si="3"/>
        <v>#DIV/0!</v>
      </c>
      <c r="R9" s="407" t="e">
        <f t="shared" si="4"/>
        <v>#DIV/0!</v>
      </c>
      <c r="S9" s="413" t="e">
        <f t="shared" si="5"/>
        <v>#DIV/0!</v>
      </c>
      <c r="U9" s="414">
        <f t="shared" si="6"/>
        <v>1.4999999999999458E-3</v>
      </c>
      <c r="V9" s="415">
        <f t="shared" si="10"/>
        <v>1.7799999999999999E-3</v>
      </c>
      <c r="W9" s="414">
        <f t="shared" si="11"/>
        <v>1.0017831740498087</v>
      </c>
      <c r="X9" s="416">
        <f t="shared" si="7"/>
        <v>426.08698000000015</v>
      </c>
      <c r="Y9" s="417" t="e">
        <f t="shared" si="8"/>
        <v>#DIV/0!</v>
      </c>
      <c r="Z9" s="418" t="e">
        <f t="shared" si="9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9"/>
      <c r="L10" s="409"/>
      <c r="M10" s="407">
        <f>(L10-1)*1000</f>
        <v>-1000</v>
      </c>
      <c r="N10" s="407">
        <f t="shared" si="1"/>
        <v>-998.5</v>
      </c>
      <c r="O10" s="410"/>
      <c r="P10" s="411">
        <f t="shared" si="2"/>
        <v>-998.5</v>
      </c>
      <c r="Q10" s="412" t="e">
        <f t="shared" si="3"/>
        <v>#DIV/0!</v>
      </c>
      <c r="R10" s="407" t="e">
        <f t="shared" si="4"/>
        <v>#DIV/0!</v>
      </c>
      <c r="S10" s="413" t="e">
        <f t="shared" si="5"/>
        <v>#DIV/0!</v>
      </c>
      <c r="U10" s="414">
        <f t="shared" si="6"/>
        <v>1.4999999999999458E-3</v>
      </c>
      <c r="V10" s="415">
        <f t="shared" si="10"/>
        <v>1.7799999999999999E-3</v>
      </c>
      <c r="W10" s="414">
        <f t="shared" si="11"/>
        <v>1.0017831740498087</v>
      </c>
      <c r="X10" s="416">
        <f t="shared" si="7"/>
        <v>426.08698000000015</v>
      </c>
      <c r="Y10" s="417" t="e">
        <f t="shared" si="8"/>
        <v>#DIV/0!</v>
      </c>
      <c r="Z10" s="418" t="e">
        <f t="shared" si="9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2">E11/$E$26*100</f>
        <v>0</v>
      </c>
      <c r="G11" s="458">
        <v>100</v>
      </c>
      <c r="I11" s="406">
        <f t="shared" si="0"/>
        <v>21600</v>
      </c>
      <c r="J11" s="426">
        <v>360</v>
      </c>
      <c r="K11" s="409"/>
      <c r="L11" s="409"/>
      <c r="M11" s="407">
        <f>(L11-1)*1000</f>
        <v>-1000</v>
      </c>
      <c r="N11" s="407">
        <f t="shared" si="1"/>
        <v>-998.5</v>
      </c>
      <c r="O11" s="410"/>
      <c r="P11" s="411">
        <f t="shared" si="2"/>
        <v>-998.5</v>
      </c>
      <c r="Q11" s="412" t="e">
        <f t="shared" si="3"/>
        <v>#DIV/0!</v>
      </c>
      <c r="R11" s="407" t="e">
        <f t="shared" si="4"/>
        <v>#DIV/0!</v>
      </c>
      <c r="S11" s="413" t="e">
        <f t="shared" si="5"/>
        <v>#DIV/0!</v>
      </c>
      <c r="U11" s="414">
        <f t="shared" si="6"/>
        <v>1.4999999999999458E-3</v>
      </c>
      <c r="V11" s="415">
        <f t="shared" si="10"/>
        <v>1.7799999999999999E-3</v>
      </c>
      <c r="W11" s="414">
        <f t="shared" si="11"/>
        <v>1.0017831740498087</v>
      </c>
      <c r="X11" s="416">
        <f t="shared" si="7"/>
        <v>426.08698000000015</v>
      </c>
      <c r="Y11" s="417" t="e">
        <f t="shared" si="8"/>
        <v>#DIV/0!</v>
      </c>
      <c r="Z11" s="418" t="e">
        <f t="shared" si="9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2"/>
        <v>0</v>
      </c>
      <c r="G12" s="463">
        <f t="shared" ref="G12:G25" si="13">G11-F12</f>
        <v>100</v>
      </c>
      <c r="I12" s="464">
        <f t="shared" si="0"/>
        <v>86400</v>
      </c>
      <c r="J12" s="465">
        <v>1440</v>
      </c>
      <c r="K12" s="409"/>
      <c r="L12" s="409"/>
      <c r="M12" s="467">
        <f>(K12-1)*1000</f>
        <v>-1000</v>
      </c>
      <c r="N12" s="467">
        <f t="shared" si="1"/>
        <v>-998.5</v>
      </c>
      <c r="O12" s="410"/>
      <c r="P12" s="468">
        <f t="shared" si="2"/>
        <v>-998.5</v>
      </c>
      <c r="Q12" s="469" t="e">
        <f t="shared" si="3"/>
        <v>#REF!</v>
      </c>
      <c r="R12" s="467" t="e">
        <f t="shared" si="4"/>
        <v>#DIV/0!</v>
      </c>
      <c r="S12" s="470" t="e">
        <f t="shared" si="5"/>
        <v>#DIV/0!</v>
      </c>
      <c r="U12" s="414">
        <f t="shared" si="6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7"/>
        <v>426.08698000000015</v>
      </c>
      <c r="Y12" s="417" t="e">
        <f t="shared" si="8"/>
        <v>#DIV/0!</v>
      </c>
      <c r="Z12" s="418" t="e">
        <f t="shared" si="9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24.1</v>
      </c>
      <c r="E13" s="474">
        <f>D13</f>
        <v>24.1</v>
      </c>
      <c r="F13" s="457">
        <f t="shared" si="12"/>
        <v>5.8794828006830917</v>
      </c>
      <c r="G13" s="475">
        <f t="shared" si="13"/>
        <v>94.120517199316907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30.7</v>
      </c>
      <c r="E14" s="474">
        <f>D14</f>
        <v>30.7</v>
      </c>
      <c r="F14" s="457">
        <f t="shared" si="12"/>
        <v>7.4896316174676718</v>
      </c>
      <c r="G14" s="475">
        <f t="shared" si="13"/>
        <v>86.630885581849242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81.599999999999994</v>
      </c>
      <c r="E15" s="462">
        <f>D15</f>
        <v>81.599999999999994</v>
      </c>
      <c r="F15" s="479">
        <f t="shared" si="12"/>
        <v>19.907294462063909</v>
      </c>
      <c r="G15" s="480">
        <f t="shared" si="13"/>
        <v>66.72359111978534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639.79999999999995</v>
      </c>
      <c r="E16" s="485">
        <f t="shared" ref="E16:E24" si="14">D16-C16</f>
        <v>9.3999999999999773</v>
      </c>
      <c r="F16" s="457">
        <f t="shared" si="12"/>
        <v>2.2932422542083373</v>
      </c>
      <c r="G16" s="463">
        <f t="shared" si="13"/>
        <v>64.430348865577002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544.70000000000005</v>
      </c>
      <c r="E17" s="487">
        <f t="shared" si="14"/>
        <v>25.400000000000091</v>
      </c>
      <c r="F17" s="457">
        <f t="shared" si="12"/>
        <v>6.1966333252012884</v>
      </c>
      <c r="G17" s="475">
        <f t="shared" si="13"/>
        <v>58.233715540375712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536.20000000000005</v>
      </c>
      <c r="E18" s="488">
        <f t="shared" si="14"/>
        <v>30.000000000000057</v>
      </c>
      <c r="F18" s="457">
        <f t="shared" si="12"/>
        <v>7.3188582581117458</v>
      </c>
      <c r="G18" s="475">
        <f t="shared" si="13"/>
        <v>50.914857282263966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423.1</v>
      </c>
      <c r="E19" s="487">
        <f t="shared" si="14"/>
        <v>39.300000000000011</v>
      </c>
      <c r="F19" s="457">
        <f t="shared" si="12"/>
        <v>9.5877043181263719</v>
      </c>
      <c r="G19" s="475">
        <f t="shared" si="13"/>
        <v>41.327152964137596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428</v>
      </c>
      <c r="E20" s="488">
        <f t="shared" si="14"/>
        <v>51.800000000000011</v>
      </c>
      <c r="F20" s="457">
        <f t="shared" si="12"/>
        <v>12.637228592339595</v>
      </c>
      <c r="G20" s="475">
        <f t="shared" si="13"/>
        <v>28.689924371798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4.6677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369.5</v>
      </c>
      <c r="E21" s="487">
        <f t="shared" si="14"/>
        <v>38.699999999999989</v>
      </c>
      <c r="F21" s="457">
        <f t="shared" si="12"/>
        <v>9.4413271529641314</v>
      </c>
      <c r="G21" s="475">
        <f t="shared" si="13"/>
        <v>19.248597218833869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0.1628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357.6</v>
      </c>
      <c r="E22" s="488">
        <f t="shared" si="14"/>
        <v>31.5</v>
      </c>
      <c r="F22" s="457">
        <f t="shared" si="12"/>
        <v>7.6848011710173196</v>
      </c>
      <c r="G22" s="475">
        <f t="shared" si="13"/>
        <v>11.563796047816549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28.671375921375923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322</v>
      </c>
      <c r="E23" s="487">
        <f t="shared" si="14"/>
        <v>17.600000000000023</v>
      </c>
      <c r="F23" s="457">
        <f t="shared" si="12"/>
        <v>4.293730178092221</v>
      </c>
      <c r="G23" s="490">
        <f t="shared" si="13"/>
        <v>7.2700658697243279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319.8</v>
      </c>
      <c r="E24" s="488">
        <f t="shared" si="14"/>
        <v>6.1000000000000227</v>
      </c>
      <c r="F24" s="492">
        <f t="shared" si="12"/>
        <v>1.4881678458160579</v>
      </c>
      <c r="G24" s="493">
        <f t="shared" si="13"/>
        <v>5.78189802390827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3.1666788031999992E-4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380</v>
      </c>
      <c r="E25" s="496">
        <f>D25-C25+(G6-C26)</f>
        <v>23.699999999999989</v>
      </c>
      <c r="F25" s="457">
        <f t="shared" si="12"/>
        <v>5.7818980239082656</v>
      </c>
      <c r="G25" s="463">
        <f t="shared" si="13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399.5</v>
      </c>
      <c r="D26" s="498" t="s">
        <v>19</v>
      </c>
      <c r="E26" s="499">
        <f>SUM(E12:E25)</f>
        <v>409.90000000000015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0.79999999999984084</v>
      </c>
      <c r="F27" s="505">
        <f>IF((E27/G6*100)&gt;1,"Fehler zu groß",(E27/G6*100))</f>
        <v>0.1947893839785344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2.2535685075200003E-5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3.9050000000000001E-4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154</v>
      </c>
      <c r="D3" s="385" t="s">
        <v>25</v>
      </c>
      <c r="E3" s="387">
        <v>40060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409"/>
      <c r="L4" s="409"/>
      <c r="M4" s="407">
        <f>(L4-1)*1000</f>
        <v>-1000</v>
      </c>
      <c r="N4" s="407">
        <f t="shared" ref="N4:N12" si="1">M4+$G$33</f>
        <v>-998.5</v>
      </c>
      <c r="O4" s="410"/>
      <c r="P4" s="411">
        <f t="shared" ref="P4:P12" si="2">N4+O4</f>
        <v>-998.5</v>
      </c>
      <c r="Q4" s="412" t="e">
        <f t="shared" ref="Q4:Q12" si="3">((18.35*V4/($F$34-W4))*Z4)^0.5</f>
        <v>#DIV/0!</v>
      </c>
      <c r="R4" s="407" t="e">
        <f t="shared" ref="R4:R12" si="4">$F$36*P4</f>
        <v>#DIV/0!</v>
      </c>
      <c r="S4" s="413" t="e">
        <f t="shared" ref="S4:S12" si="5">$G$24/100*R4</f>
        <v>#DIV/0!</v>
      </c>
      <c r="U4" s="414">
        <f t="shared" ref="U4:U12" si="6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7">4142.8*(1.03-U4)/10</f>
        <v>426.08698000000015</v>
      </c>
      <c r="Y4" s="417" t="e">
        <f t="shared" ref="Y4:Y12" si="8">X4+$AB$5+0.5*($AC$5-$AD$5/$AE$5)</f>
        <v>#DIV/0!</v>
      </c>
      <c r="Z4" s="418" t="e">
        <f t="shared" ref="Z4:Z12" si="9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9"/>
      <c r="L5" s="409"/>
      <c r="M5" s="407">
        <f>(L5-1)*1000</f>
        <v>-1000</v>
      </c>
      <c r="N5" s="407">
        <f t="shared" si="1"/>
        <v>-998.5</v>
      </c>
      <c r="O5" s="410"/>
      <c r="P5" s="411">
        <f t="shared" si="2"/>
        <v>-998.5</v>
      </c>
      <c r="Q5" s="412" t="e">
        <f t="shared" si="3"/>
        <v>#DIV/0!</v>
      </c>
      <c r="R5" s="407" t="e">
        <f t="shared" si="4"/>
        <v>#DIV/0!</v>
      </c>
      <c r="S5" s="413" t="e">
        <f t="shared" si="5"/>
        <v>#DIV/0!</v>
      </c>
      <c r="U5" s="414">
        <f t="shared" si="6"/>
        <v>1.4999999999999458E-3</v>
      </c>
      <c r="V5" s="415">
        <f t="shared" ref="V5:V11" si="10">0.00178/(1+0.0337*K5+0.00022*K5^2)</f>
        <v>1.7799999999999999E-3</v>
      </c>
      <c r="W5" s="414">
        <f t="shared" ref="W5:W11" si="11">1/(1+((2.31*K5-2)^2-182)*0.00001)</f>
        <v>1.0017831740498087</v>
      </c>
      <c r="X5" s="416">
        <f t="shared" si="7"/>
        <v>426.08698000000015</v>
      </c>
      <c r="Y5" s="417" t="e">
        <f t="shared" si="8"/>
        <v>#DIV/0!</v>
      </c>
      <c r="Z5" s="418" t="e">
        <f t="shared" si="9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356.3</v>
      </c>
      <c r="I6" s="406">
        <f t="shared" si="0"/>
        <v>120</v>
      </c>
      <c r="J6" s="426">
        <v>2</v>
      </c>
      <c r="K6" s="409"/>
      <c r="L6" s="409"/>
      <c r="M6" s="407">
        <f>(L6-1)*1000</f>
        <v>-1000</v>
      </c>
      <c r="N6" s="407">
        <f t="shared" si="1"/>
        <v>-998.5</v>
      </c>
      <c r="O6" s="410"/>
      <c r="P6" s="411">
        <f t="shared" si="2"/>
        <v>-998.5</v>
      </c>
      <c r="Q6" s="412" t="e">
        <f t="shared" si="3"/>
        <v>#DIV/0!</v>
      </c>
      <c r="R6" s="407" t="e">
        <f t="shared" si="4"/>
        <v>#DIV/0!</v>
      </c>
      <c r="S6" s="413" t="e">
        <f t="shared" si="5"/>
        <v>#DIV/0!</v>
      </c>
      <c r="U6" s="414">
        <f t="shared" si="6"/>
        <v>1.4999999999999458E-3</v>
      </c>
      <c r="V6" s="415">
        <f t="shared" si="10"/>
        <v>1.7799999999999999E-3</v>
      </c>
      <c r="W6" s="414">
        <f t="shared" si="11"/>
        <v>1.0017831740498087</v>
      </c>
      <c r="X6" s="416">
        <f t="shared" si="7"/>
        <v>426.08698000000015</v>
      </c>
      <c r="Y6" s="417" t="e">
        <f t="shared" si="8"/>
        <v>#DIV/0!</v>
      </c>
      <c r="Z6" s="418" t="e">
        <f t="shared" si="9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9"/>
      <c r="L7" s="409"/>
      <c r="M7" s="407">
        <f>(L7-1)*1000</f>
        <v>-1000</v>
      </c>
      <c r="N7" s="407">
        <f t="shared" si="1"/>
        <v>-998.5</v>
      </c>
      <c r="O7" s="410"/>
      <c r="P7" s="411">
        <f t="shared" si="2"/>
        <v>-998.5</v>
      </c>
      <c r="Q7" s="412" t="e">
        <f t="shared" si="3"/>
        <v>#DIV/0!</v>
      </c>
      <c r="R7" s="407" t="e">
        <f t="shared" si="4"/>
        <v>#DIV/0!</v>
      </c>
      <c r="S7" s="413" t="e">
        <f t="shared" si="5"/>
        <v>#DIV/0!</v>
      </c>
      <c r="U7" s="414">
        <f t="shared" si="6"/>
        <v>1.4999999999999458E-3</v>
      </c>
      <c r="V7" s="415">
        <f t="shared" si="10"/>
        <v>1.7799999999999999E-3</v>
      </c>
      <c r="W7" s="414">
        <f t="shared" si="11"/>
        <v>1.0017831740498087</v>
      </c>
      <c r="X7" s="416">
        <f t="shared" si="7"/>
        <v>426.08698000000015</v>
      </c>
      <c r="Y7" s="417" t="e">
        <f t="shared" si="8"/>
        <v>#DIV/0!</v>
      </c>
      <c r="Z7" s="418" t="e">
        <f t="shared" si="9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9"/>
      <c r="L8" s="409"/>
      <c r="M8" s="407">
        <f>(L8-1)*1000</f>
        <v>-1000</v>
      </c>
      <c r="N8" s="407">
        <f t="shared" si="1"/>
        <v>-998.5</v>
      </c>
      <c r="O8" s="410"/>
      <c r="P8" s="411">
        <f t="shared" si="2"/>
        <v>-998.5</v>
      </c>
      <c r="Q8" s="412" t="e">
        <f t="shared" si="3"/>
        <v>#DIV/0!</v>
      </c>
      <c r="R8" s="407" t="e">
        <f t="shared" si="4"/>
        <v>#DIV/0!</v>
      </c>
      <c r="S8" s="413" t="e">
        <f t="shared" si="5"/>
        <v>#DIV/0!</v>
      </c>
      <c r="U8" s="414">
        <f t="shared" si="6"/>
        <v>1.4999999999999458E-3</v>
      </c>
      <c r="V8" s="415">
        <f t="shared" si="10"/>
        <v>1.7799999999999999E-3</v>
      </c>
      <c r="W8" s="414">
        <f t="shared" si="11"/>
        <v>1.0017831740498087</v>
      </c>
      <c r="X8" s="416">
        <f t="shared" si="7"/>
        <v>426.08698000000015</v>
      </c>
      <c r="Y8" s="417" t="e">
        <f t="shared" si="8"/>
        <v>#DIV/0!</v>
      </c>
      <c r="Z8" s="418" t="e">
        <f t="shared" si="9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9"/>
      <c r="L9" s="409"/>
      <c r="M9" s="407">
        <f>(K4-1)*1000</f>
        <v>-1000</v>
      </c>
      <c r="N9" s="407">
        <f t="shared" si="1"/>
        <v>-998.5</v>
      </c>
      <c r="O9" s="410"/>
      <c r="P9" s="411">
        <f t="shared" si="2"/>
        <v>-998.5</v>
      </c>
      <c r="Q9" s="412" t="e">
        <f t="shared" si="3"/>
        <v>#DIV/0!</v>
      </c>
      <c r="R9" s="407" t="e">
        <f t="shared" si="4"/>
        <v>#DIV/0!</v>
      </c>
      <c r="S9" s="413" t="e">
        <f t="shared" si="5"/>
        <v>#DIV/0!</v>
      </c>
      <c r="U9" s="414">
        <f t="shared" si="6"/>
        <v>1.4999999999999458E-3</v>
      </c>
      <c r="V9" s="415">
        <f t="shared" si="10"/>
        <v>1.7799999999999999E-3</v>
      </c>
      <c r="W9" s="414">
        <f t="shared" si="11"/>
        <v>1.0017831740498087</v>
      </c>
      <c r="X9" s="416">
        <f t="shared" si="7"/>
        <v>426.08698000000015</v>
      </c>
      <c r="Y9" s="417" t="e">
        <f t="shared" si="8"/>
        <v>#DIV/0!</v>
      </c>
      <c r="Z9" s="418" t="e">
        <f t="shared" si="9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9"/>
      <c r="L10" s="409"/>
      <c r="M10" s="407">
        <f>(L10-1)*1000</f>
        <v>-1000</v>
      </c>
      <c r="N10" s="407">
        <f t="shared" si="1"/>
        <v>-998.5</v>
      </c>
      <c r="O10" s="410"/>
      <c r="P10" s="411">
        <f t="shared" si="2"/>
        <v>-998.5</v>
      </c>
      <c r="Q10" s="412" t="e">
        <f t="shared" si="3"/>
        <v>#DIV/0!</v>
      </c>
      <c r="R10" s="407" t="e">
        <f t="shared" si="4"/>
        <v>#DIV/0!</v>
      </c>
      <c r="S10" s="413" t="e">
        <f t="shared" si="5"/>
        <v>#DIV/0!</v>
      </c>
      <c r="U10" s="414">
        <f t="shared" si="6"/>
        <v>1.4999999999999458E-3</v>
      </c>
      <c r="V10" s="415">
        <f t="shared" si="10"/>
        <v>1.7799999999999999E-3</v>
      </c>
      <c r="W10" s="414">
        <f t="shared" si="11"/>
        <v>1.0017831740498087</v>
      </c>
      <c r="X10" s="416">
        <f t="shared" si="7"/>
        <v>426.08698000000015</v>
      </c>
      <c r="Y10" s="417" t="e">
        <f t="shared" si="8"/>
        <v>#DIV/0!</v>
      </c>
      <c r="Z10" s="418" t="e">
        <f t="shared" si="9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2">E11/$E$26*100</f>
        <v>0</v>
      </c>
      <c r="G11" s="458">
        <v>100</v>
      </c>
      <c r="I11" s="406">
        <f t="shared" si="0"/>
        <v>21600</v>
      </c>
      <c r="J11" s="426">
        <v>360</v>
      </c>
      <c r="K11" s="409"/>
      <c r="L11" s="409"/>
      <c r="M11" s="407">
        <f>(L11-1)*1000</f>
        <v>-1000</v>
      </c>
      <c r="N11" s="407">
        <f t="shared" si="1"/>
        <v>-998.5</v>
      </c>
      <c r="O11" s="410"/>
      <c r="P11" s="411">
        <f t="shared" si="2"/>
        <v>-998.5</v>
      </c>
      <c r="Q11" s="412" t="e">
        <f t="shared" si="3"/>
        <v>#DIV/0!</v>
      </c>
      <c r="R11" s="407" t="e">
        <f t="shared" si="4"/>
        <v>#DIV/0!</v>
      </c>
      <c r="S11" s="413" t="e">
        <f t="shared" si="5"/>
        <v>#DIV/0!</v>
      </c>
      <c r="U11" s="414">
        <f t="shared" si="6"/>
        <v>1.4999999999999458E-3</v>
      </c>
      <c r="V11" s="415">
        <f t="shared" si="10"/>
        <v>1.7799999999999999E-3</v>
      </c>
      <c r="W11" s="414">
        <f t="shared" si="11"/>
        <v>1.0017831740498087</v>
      </c>
      <c r="X11" s="416">
        <f t="shared" si="7"/>
        <v>426.08698000000015</v>
      </c>
      <c r="Y11" s="417" t="e">
        <f t="shared" si="8"/>
        <v>#DIV/0!</v>
      </c>
      <c r="Z11" s="418" t="e">
        <f t="shared" si="9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2"/>
        <v>0</v>
      </c>
      <c r="G12" s="463">
        <f t="shared" ref="G12:G25" si="13">G11-F12</f>
        <v>100</v>
      </c>
      <c r="I12" s="464">
        <f t="shared" si="0"/>
        <v>86400</v>
      </c>
      <c r="J12" s="465">
        <v>1440</v>
      </c>
      <c r="K12" s="409"/>
      <c r="L12" s="409"/>
      <c r="M12" s="467">
        <f>(K12-1)*1000</f>
        <v>-1000</v>
      </c>
      <c r="N12" s="467">
        <f t="shared" si="1"/>
        <v>-998.5</v>
      </c>
      <c r="O12" s="410"/>
      <c r="P12" s="468">
        <f t="shared" si="2"/>
        <v>-998.5</v>
      </c>
      <c r="Q12" s="469" t="e">
        <f t="shared" si="3"/>
        <v>#REF!</v>
      </c>
      <c r="R12" s="467" t="e">
        <f t="shared" si="4"/>
        <v>#DIV/0!</v>
      </c>
      <c r="S12" s="470" t="e">
        <f t="shared" si="5"/>
        <v>#DIV/0!</v>
      </c>
      <c r="U12" s="414">
        <f t="shared" si="6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7"/>
        <v>426.08698000000015</v>
      </c>
      <c r="Y12" s="417" t="e">
        <f t="shared" si="8"/>
        <v>#DIV/0!</v>
      </c>
      <c r="Z12" s="418" t="e">
        <f t="shared" si="9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69.099999999999994</v>
      </c>
      <c r="E13" s="474">
        <f>D13</f>
        <v>69.099999999999994</v>
      </c>
      <c r="F13" s="457">
        <f t="shared" si="12"/>
        <v>19.464788732394361</v>
      </c>
      <c r="G13" s="475">
        <f t="shared" si="13"/>
        <v>80.535211267605632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44.3</v>
      </c>
      <c r="E14" s="474">
        <f>D14</f>
        <v>44.3</v>
      </c>
      <c r="F14" s="457">
        <f t="shared" si="12"/>
        <v>12.478873239436616</v>
      </c>
      <c r="G14" s="475">
        <f t="shared" si="13"/>
        <v>68.056338028169023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25.1</v>
      </c>
      <c r="E15" s="462">
        <f>D15</f>
        <v>25.1</v>
      </c>
      <c r="F15" s="479">
        <f t="shared" si="12"/>
        <v>7.0704225352112671</v>
      </c>
      <c r="G15" s="480">
        <f t="shared" si="13"/>
        <v>60.985915492957758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638</v>
      </c>
      <c r="E16" s="485">
        <f t="shared" ref="E16:E24" si="14">D16-C16</f>
        <v>7.6000000000000227</v>
      </c>
      <c r="F16" s="457">
        <f t="shared" si="12"/>
        <v>2.1408450704225412</v>
      </c>
      <c r="G16" s="463">
        <f t="shared" si="13"/>
        <v>58.845070422535215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542.70000000000005</v>
      </c>
      <c r="E17" s="487">
        <f t="shared" si="14"/>
        <v>23.400000000000091</v>
      </c>
      <c r="F17" s="457">
        <f t="shared" si="12"/>
        <v>6.591549295774672</v>
      </c>
      <c r="G17" s="475">
        <f t="shared" si="13"/>
        <v>52.253521126760546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542.4</v>
      </c>
      <c r="E18" s="488">
        <f t="shared" si="14"/>
        <v>36.199999999999989</v>
      </c>
      <c r="F18" s="457">
        <f t="shared" si="12"/>
        <v>10.197183098591545</v>
      </c>
      <c r="G18" s="475">
        <f t="shared" si="13"/>
        <v>42.056338028169002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425.4</v>
      </c>
      <c r="E19" s="487">
        <f t="shared" si="14"/>
        <v>41.599999999999966</v>
      </c>
      <c r="F19" s="457">
        <f t="shared" si="12"/>
        <v>11.718309859154918</v>
      </c>
      <c r="G19" s="475">
        <f t="shared" si="13"/>
        <v>30.338028169014084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420.5</v>
      </c>
      <c r="E20" s="488">
        <f t="shared" si="14"/>
        <v>44.300000000000011</v>
      </c>
      <c r="F20" s="457">
        <f t="shared" si="12"/>
        <v>12.47887323943662</v>
      </c>
      <c r="G20" s="475">
        <f t="shared" si="13"/>
        <v>17.859154929577464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8.4143000000000008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354.5</v>
      </c>
      <c r="E21" s="487">
        <f t="shared" si="14"/>
        <v>23.699999999999989</v>
      </c>
      <c r="F21" s="457">
        <f t="shared" si="12"/>
        <v>6.6760563380281646</v>
      </c>
      <c r="G21" s="475">
        <f t="shared" si="13"/>
        <v>11.1830985915493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0.34050000000000002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339.4</v>
      </c>
      <c r="E22" s="488">
        <f t="shared" si="14"/>
        <v>13.299999999999955</v>
      </c>
      <c r="F22" s="457">
        <f t="shared" si="12"/>
        <v>3.7464788732394236</v>
      </c>
      <c r="G22" s="475">
        <f t="shared" si="13"/>
        <v>7.4366197183098759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24.711600587371514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309.3</v>
      </c>
      <c r="E23" s="487">
        <f t="shared" si="14"/>
        <v>4.9000000000000341</v>
      </c>
      <c r="F23" s="457">
        <f t="shared" si="12"/>
        <v>1.3802816901408543</v>
      </c>
      <c r="G23" s="490">
        <f t="shared" si="13"/>
        <v>6.0563380281690211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321.89999999999998</v>
      </c>
      <c r="E24" s="488">
        <f t="shared" si="14"/>
        <v>8.1999999999999886</v>
      </c>
      <c r="F24" s="492">
        <f t="shared" si="12"/>
        <v>2.3098591549295739</v>
      </c>
      <c r="G24" s="493">
        <f t="shared" si="13"/>
        <v>3.7464788732394472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1.3852541069999998E-3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372.6</v>
      </c>
      <c r="E25" s="496">
        <f>D25-C25+(G6-C26)</f>
        <v>13.300000000000011</v>
      </c>
      <c r="F25" s="457">
        <f t="shared" si="12"/>
        <v>3.7464788732394396</v>
      </c>
      <c r="G25" s="463">
        <f t="shared" si="13"/>
        <v>7.5495165674510645E-15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348.1</v>
      </c>
      <c r="D26" s="498" t="s">
        <v>19</v>
      </c>
      <c r="E26" s="499">
        <f>SUM(E12:E25)</f>
        <v>355.00000000000006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1.2999999999999545</v>
      </c>
      <c r="F27" s="505">
        <f>IF((E27/G6*100)&gt;1,"Fehler zu groß",(E27/G6*100))</f>
        <v>0.36486107213021457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9.8581675770000014E-5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7.9129999999999999E-4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155</v>
      </c>
      <c r="D3" s="385" t="s">
        <v>25</v>
      </c>
      <c r="E3" s="387">
        <v>40060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409"/>
      <c r="L4" s="409"/>
      <c r="M4" s="407">
        <f>(L4-1)*1000</f>
        <v>-1000</v>
      </c>
      <c r="N4" s="407">
        <f t="shared" ref="N4:N12" si="1">M4+$G$33</f>
        <v>-998.5</v>
      </c>
      <c r="O4" s="410"/>
      <c r="P4" s="411">
        <f t="shared" ref="P4:P12" si="2">N4+O4</f>
        <v>-998.5</v>
      </c>
      <c r="Q4" s="412" t="e">
        <f t="shared" ref="Q4:Q12" si="3">((18.35*V4/($F$34-W4))*Z4)^0.5</f>
        <v>#DIV/0!</v>
      </c>
      <c r="R4" s="407" t="e">
        <f t="shared" ref="R4:R12" si="4">$F$36*P4</f>
        <v>#DIV/0!</v>
      </c>
      <c r="S4" s="413" t="e">
        <f t="shared" ref="S4:S12" si="5">$G$24/100*R4</f>
        <v>#DIV/0!</v>
      </c>
      <c r="U4" s="414">
        <f t="shared" ref="U4:U12" si="6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7">4142.8*(1.03-U4)/10</f>
        <v>426.08698000000015</v>
      </c>
      <c r="Y4" s="417" t="e">
        <f t="shared" ref="Y4:Y12" si="8">X4+$AB$5+0.5*($AC$5-$AD$5/$AE$5)</f>
        <v>#DIV/0!</v>
      </c>
      <c r="Z4" s="418" t="e">
        <f t="shared" ref="Z4:Z12" si="9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9"/>
      <c r="L5" s="409"/>
      <c r="M5" s="407">
        <f>(L5-1)*1000</f>
        <v>-1000</v>
      </c>
      <c r="N5" s="407">
        <f t="shared" si="1"/>
        <v>-998.5</v>
      </c>
      <c r="O5" s="410"/>
      <c r="P5" s="411">
        <f t="shared" si="2"/>
        <v>-998.5</v>
      </c>
      <c r="Q5" s="412" t="e">
        <f t="shared" si="3"/>
        <v>#DIV/0!</v>
      </c>
      <c r="R5" s="407" t="e">
        <f t="shared" si="4"/>
        <v>#DIV/0!</v>
      </c>
      <c r="S5" s="413" t="e">
        <f t="shared" si="5"/>
        <v>#DIV/0!</v>
      </c>
      <c r="U5" s="414">
        <f t="shared" si="6"/>
        <v>1.4999999999999458E-3</v>
      </c>
      <c r="V5" s="415">
        <f t="shared" ref="V5:V11" si="10">0.00178/(1+0.0337*K5+0.00022*K5^2)</f>
        <v>1.7799999999999999E-3</v>
      </c>
      <c r="W5" s="414">
        <f t="shared" ref="W5:W11" si="11">1/(1+((2.31*K5-2)^2-182)*0.00001)</f>
        <v>1.0017831740498087</v>
      </c>
      <c r="X5" s="416">
        <f t="shared" si="7"/>
        <v>426.08698000000015</v>
      </c>
      <c r="Y5" s="417" t="e">
        <f t="shared" si="8"/>
        <v>#DIV/0!</v>
      </c>
      <c r="Z5" s="418" t="e">
        <f t="shared" si="9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314.60000000000002</v>
      </c>
      <c r="I6" s="406">
        <f t="shared" si="0"/>
        <v>120</v>
      </c>
      <c r="J6" s="426">
        <v>2</v>
      </c>
      <c r="K6" s="409"/>
      <c r="L6" s="409"/>
      <c r="M6" s="407">
        <f>(L6-1)*1000</f>
        <v>-1000</v>
      </c>
      <c r="N6" s="407">
        <f t="shared" si="1"/>
        <v>-998.5</v>
      </c>
      <c r="O6" s="410"/>
      <c r="P6" s="411">
        <f t="shared" si="2"/>
        <v>-998.5</v>
      </c>
      <c r="Q6" s="412" t="e">
        <f t="shared" si="3"/>
        <v>#DIV/0!</v>
      </c>
      <c r="R6" s="407" t="e">
        <f t="shared" si="4"/>
        <v>#DIV/0!</v>
      </c>
      <c r="S6" s="413" t="e">
        <f t="shared" si="5"/>
        <v>#DIV/0!</v>
      </c>
      <c r="U6" s="414">
        <f t="shared" si="6"/>
        <v>1.4999999999999458E-3</v>
      </c>
      <c r="V6" s="415">
        <f t="shared" si="10"/>
        <v>1.7799999999999999E-3</v>
      </c>
      <c r="W6" s="414">
        <f t="shared" si="11"/>
        <v>1.0017831740498087</v>
      </c>
      <c r="X6" s="416">
        <f t="shared" si="7"/>
        <v>426.08698000000015</v>
      </c>
      <c r="Y6" s="417" t="e">
        <f t="shared" si="8"/>
        <v>#DIV/0!</v>
      </c>
      <c r="Z6" s="418" t="e">
        <f t="shared" si="9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9"/>
      <c r="L7" s="409"/>
      <c r="M7" s="407">
        <f>(L7-1)*1000</f>
        <v>-1000</v>
      </c>
      <c r="N7" s="407">
        <f t="shared" si="1"/>
        <v>-998.5</v>
      </c>
      <c r="O7" s="410"/>
      <c r="P7" s="411">
        <f t="shared" si="2"/>
        <v>-998.5</v>
      </c>
      <c r="Q7" s="412" t="e">
        <f t="shared" si="3"/>
        <v>#DIV/0!</v>
      </c>
      <c r="R7" s="407" t="e">
        <f t="shared" si="4"/>
        <v>#DIV/0!</v>
      </c>
      <c r="S7" s="413" t="e">
        <f t="shared" si="5"/>
        <v>#DIV/0!</v>
      </c>
      <c r="U7" s="414">
        <f t="shared" si="6"/>
        <v>1.4999999999999458E-3</v>
      </c>
      <c r="V7" s="415">
        <f t="shared" si="10"/>
        <v>1.7799999999999999E-3</v>
      </c>
      <c r="W7" s="414">
        <f t="shared" si="11"/>
        <v>1.0017831740498087</v>
      </c>
      <c r="X7" s="416">
        <f t="shared" si="7"/>
        <v>426.08698000000015</v>
      </c>
      <c r="Y7" s="417" t="e">
        <f t="shared" si="8"/>
        <v>#DIV/0!</v>
      </c>
      <c r="Z7" s="418" t="e">
        <f t="shared" si="9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9"/>
      <c r="L8" s="409"/>
      <c r="M8" s="407">
        <f>(L8-1)*1000</f>
        <v>-1000</v>
      </c>
      <c r="N8" s="407">
        <f t="shared" si="1"/>
        <v>-998.5</v>
      </c>
      <c r="O8" s="410"/>
      <c r="P8" s="411">
        <f t="shared" si="2"/>
        <v>-998.5</v>
      </c>
      <c r="Q8" s="412" t="e">
        <f t="shared" si="3"/>
        <v>#DIV/0!</v>
      </c>
      <c r="R8" s="407" t="e">
        <f t="shared" si="4"/>
        <v>#DIV/0!</v>
      </c>
      <c r="S8" s="413" t="e">
        <f t="shared" si="5"/>
        <v>#DIV/0!</v>
      </c>
      <c r="U8" s="414">
        <f t="shared" si="6"/>
        <v>1.4999999999999458E-3</v>
      </c>
      <c r="V8" s="415">
        <f t="shared" si="10"/>
        <v>1.7799999999999999E-3</v>
      </c>
      <c r="W8" s="414">
        <f t="shared" si="11"/>
        <v>1.0017831740498087</v>
      </c>
      <c r="X8" s="416">
        <f t="shared" si="7"/>
        <v>426.08698000000015</v>
      </c>
      <c r="Y8" s="417" t="e">
        <f t="shared" si="8"/>
        <v>#DIV/0!</v>
      </c>
      <c r="Z8" s="418" t="e">
        <f t="shared" si="9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9"/>
      <c r="L9" s="409"/>
      <c r="M9" s="407">
        <f>(K4-1)*1000</f>
        <v>-1000</v>
      </c>
      <c r="N9" s="407">
        <f t="shared" si="1"/>
        <v>-998.5</v>
      </c>
      <c r="O9" s="410"/>
      <c r="P9" s="411">
        <f t="shared" si="2"/>
        <v>-998.5</v>
      </c>
      <c r="Q9" s="412" t="e">
        <f t="shared" si="3"/>
        <v>#DIV/0!</v>
      </c>
      <c r="R9" s="407" t="e">
        <f t="shared" si="4"/>
        <v>#DIV/0!</v>
      </c>
      <c r="S9" s="413" t="e">
        <f t="shared" si="5"/>
        <v>#DIV/0!</v>
      </c>
      <c r="U9" s="414">
        <f t="shared" si="6"/>
        <v>1.4999999999999458E-3</v>
      </c>
      <c r="V9" s="415">
        <f t="shared" si="10"/>
        <v>1.7799999999999999E-3</v>
      </c>
      <c r="W9" s="414">
        <f t="shared" si="11"/>
        <v>1.0017831740498087</v>
      </c>
      <c r="X9" s="416">
        <f t="shared" si="7"/>
        <v>426.08698000000015</v>
      </c>
      <c r="Y9" s="417" t="e">
        <f t="shared" si="8"/>
        <v>#DIV/0!</v>
      </c>
      <c r="Z9" s="418" t="e">
        <f t="shared" si="9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9"/>
      <c r="L10" s="409"/>
      <c r="M10" s="407">
        <f>(L10-1)*1000</f>
        <v>-1000</v>
      </c>
      <c r="N10" s="407">
        <f t="shared" si="1"/>
        <v>-998.5</v>
      </c>
      <c r="O10" s="410"/>
      <c r="P10" s="411">
        <f t="shared" si="2"/>
        <v>-998.5</v>
      </c>
      <c r="Q10" s="412" t="e">
        <f t="shared" si="3"/>
        <v>#DIV/0!</v>
      </c>
      <c r="R10" s="407" t="e">
        <f t="shared" si="4"/>
        <v>#DIV/0!</v>
      </c>
      <c r="S10" s="413" t="e">
        <f t="shared" si="5"/>
        <v>#DIV/0!</v>
      </c>
      <c r="U10" s="414">
        <f t="shared" si="6"/>
        <v>1.4999999999999458E-3</v>
      </c>
      <c r="V10" s="415">
        <f t="shared" si="10"/>
        <v>1.7799999999999999E-3</v>
      </c>
      <c r="W10" s="414">
        <f t="shared" si="11"/>
        <v>1.0017831740498087</v>
      </c>
      <c r="X10" s="416">
        <f t="shared" si="7"/>
        <v>426.08698000000015</v>
      </c>
      <c r="Y10" s="417" t="e">
        <f t="shared" si="8"/>
        <v>#DIV/0!</v>
      </c>
      <c r="Z10" s="418" t="e">
        <f t="shared" si="9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2">E11/$E$26*100</f>
        <v>0</v>
      </c>
      <c r="G11" s="458">
        <v>100</v>
      </c>
      <c r="I11" s="406">
        <f t="shared" si="0"/>
        <v>21600</v>
      </c>
      <c r="J11" s="426">
        <v>360</v>
      </c>
      <c r="K11" s="409"/>
      <c r="L11" s="409"/>
      <c r="M11" s="407">
        <f>(L11-1)*1000</f>
        <v>-1000</v>
      </c>
      <c r="N11" s="407">
        <f t="shared" si="1"/>
        <v>-998.5</v>
      </c>
      <c r="O11" s="410"/>
      <c r="P11" s="411">
        <f t="shared" si="2"/>
        <v>-998.5</v>
      </c>
      <c r="Q11" s="412" t="e">
        <f t="shared" si="3"/>
        <v>#DIV/0!</v>
      </c>
      <c r="R11" s="407" t="e">
        <f t="shared" si="4"/>
        <v>#DIV/0!</v>
      </c>
      <c r="S11" s="413" t="e">
        <f t="shared" si="5"/>
        <v>#DIV/0!</v>
      </c>
      <c r="U11" s="414">
        <f t="shared" si="6"/>
        <v>1.4999999999999458E-3</v>
      </c>
      <c r="V11" s="415">
        <f t="shared" si="10"/>
        <v>1.7799999999999999E-3</v>
      </c>
      <c r="W11" s="414">
        <f t="shared" si="11"/>
        <v>1.0017831740498087</v>
      </c>
      <c r="X11" s="416">
        <f t="shared" si="7"/>
        <v>426.08698000000015</v>
      </c>
      <c r="Y11" s="417" t="e">
        <f t="shared" si="8"/>
        <v>#DIV/0!</v>
      </c>
      <c r="Z11" s="418" t="e">
        <f t="shared" si="9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2"/>
        <v>0</v>
      </c>
      <c r="G12" s="463">
        <f t="shared" ref="G12:G25" si="13">G11-F12</f>
        <v>100</v>
      </c>
      <c r="I12" s="464">
        <f t="shared" si="0"/>
        <v>86400</v>
      </c>
      <c r="J12" s="465">
        <v>1440</v>
      </c>
      <c r="K12" s="409"/>
      <c r="L12" s="409"/>
      <c r="M12" s="467">
        <f>(K12-1)*1000</f>
        <v>-1000</v>
      </c>
      <c r="N12" s="467">
        <f t="shared" si="1"/>
        <v>-998.5</v>
      </c>
      <c r="O12" s="410"/>
      <c r="P12" s="468">
        <f t="shared" si="2"/>
        <v>-998.5</v>
      </c>
      <c r="Q12" s="469" t="e">
        <f t="shared" si="3"/>
        <v>#REF!</v>
      </c>
      <c r="R12" s="467" t="e">
        <f t="shared" si="4"/>
        <v>#DIV/0!</v>
      </c>
      <c r="S12" s="470" t="e">
        <f t="shared" si="5"/>
        <v>#DIV/0!</v>
      </c>
      <c r="U12" s="414">
        <f t="shared" si="6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7"/>
        <v>426.08698000000015</v>
      </c>
      <c r="Y12" s="417" t="e">
        <f t="shared" si="8"/>
        <v>#DIV/0!</v>
      </c>
      <c r="Z12" s="418" t="e">
        <f t="shared" si="9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2"/>
        <v>0</v>
      </c>
      <c r="G13" s="475">
        <f t="shared" si="13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14.3</v>
      </c>
      <c r="E14" s="474">
        <f>D14</f>
        <v>14.3</v>
      </c>
      <c r="F14" s="457">
        <f t="shared" si="12"/>
        <v>4.5643153526970934</v>
      </c>
      <c r="G14" s="475">
        <f t="shared" si="13"/>
        <v>95.435684647302907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70</v>
      </c>
      <c r="E15" s="462">
        <f>D15</f>
        <v>70</v>
      </c>
      <c r="F15" s="479">
        <f t="shared" si="12"/>
        <v>22.342802425789969</v>
      </c>
      <c r="G15" s="480">
        <f t="shared" si="13"/>
        <v>73.092882221512937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645.6</v>
      </c>
      <c r="E16" s="485">
        <f t="shared" ref="E16:E24" si="14">D16-C16</f>
        <v>15.200000000000045</v>
      </c>
      <c r="F16" s="457">
        <f t="shared" si="12"/>
        <v>4.8515799553144081</v>
      </c>
      <c r="G16" s="463">
        <f t="shared" si="13"/>
        <v>68.241302266198531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555.9</v>
      </c>
      <c r="E17" s="487">
        <f t="shared" si="14"/>
        <v>36.600000000000023</v>
      </c>
      <c r="F17" s="457">
        <f t="shared" si="12"/>
        <v>11.682093839770191</v>
      </c>
      <c r="G17" s="475">
        <f t="shared" si="13"/>
        <v>56.559208426428341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554.9</v>
      </c>
      <c r="E18" s="488">
        <f t="shared" si="14"/>
        <v>48.699999999999989</v>
      </c>
      <c r="F18" s="457">
        <f t="shared" si="12"/>
        <v>15.544206830513874</v>
      </c>
      <c r="G18" s="475">
        <f t="shared" si="13"/>
        <v>41.01500159591447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426.3</v>
      </c>
      <c r="E19" s="487">
        <f t="shared" si="14"/>
        <v>42.5</v>
      </c>
      <c r="F19" s="457">
        <f t="shared" si="12"/>
        <v>13.565272901372479</v>
      </c>
      <c r="G19" s="475">
        <f t="shared" si="13"/>
        <v>27.449728694541989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410.1</v>
      </c>
      <c r="E20" s="488">
        <f t="shared" si="14"/>
        <v>33.900000000000034</v>
      </c>
      <c r="F20" s="457">
        <f t="shared" si="12"/>
        <v>10.820300031918295</v>
      </c>
      <c r="G20" s="475">
        <f t="shared" si="13"/>
        <v>16.629428662623695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4.6879999999999997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347.8</v>
      </c>
      <c r="E21" s="487">
        <f t="shared" si="14"/>
        <v>17</v>
      </c>
      <c r="F21" s="457">
        <f t="shared" si="12"/>
        <v>5.4261091605489931</v>
      </c>
      <c r="G21" s="475">
        <f t="shared" si="13"/>
        <v>11.203319502074702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0.33850000000000002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338.3</v>
      </c>
      <c r="E22" s="488">
        <f t="shared" si="14"/>
        <v>12.199999999999989</v>
      </c>
      <c r="F22" s="457">
        <f t="shared" si="12"/>
        <v>3.8940312799233907</v>
      </c>
      <c r="G22" s="475">
        <f t="shared" si="13"/>
        <v>7.3092882221513111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13.849335302806498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310</v>
      </c>
      <c r="E23" s="487">
        <f t="shared" si="14"/>
        <v>5.6000000000000227</v>
      </c>
      <c r="F23" s="457">
        <f t="shared" si="12"/>
        <v>1.7874241940632047</v>
      </c>
      <c r="G23" s="490">
        <f t="shared" si="13"/>
        <v>5.5218640280881068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318</v>
      </c>
      <c r="E24" s="488">
        <f t="shared" si="14"/>
        <v>4.3000000000000114</v>
      </c>
      <c r="F24" s="492">
        <f t="shared" si="12"/>
        <v>1.3724864347271017</v>
      </c>
      <c r="G24" s="493">
        <f t="shared" si="13"/>
        <v>4.1493775933610051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1.3690287229999997E-3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371.4</v>
      </c>
      <c r="E25" s="496">
        <f>D25-C25+(G6-C26)</f>
        <v>13</v>
      </c>
      <c r="F25" s="457">
        <f t="shared" si="12"/>
        <v>4.1493775933609944</v>
      </c>
      <c r="G25" s="463">
        <f t="shared" si="13"/>
        <v>1.0658141036401503E-14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305.5</v>
      </c>
      <c r="D26" s="498" t="s">
        <v>19</v>
      </c>
      <c r="E26" s="499">
        <f>SUM(E12:E25)</f>
        <v>313.30000000000013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1.2999999999998977</v>
      </c>
      <c r="F27" s="505">
        <f>IF((E27/G6*100)&gt;1,"Fehler zu groß",(E27/G6*100))</f>
        <v>0.41322314049583525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9.7426995530000001E-5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9.6529999999999999E-4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156</v>
      </c>
      <c r="D3" s="385" t="s">
        <v>25</v>
      </c>
      <c r="E3" s="387">
        <v>40060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409"/>
      <c r="L4" s="409"/>
      <c r="M4" s="407">
        <f>(L4-1)*1000</f>
        <v>-1000</v>
      </c>
      <c r="N4" s="407">
        <f t="shared" ref="N4:N12" si="1">M4+$G$33</f>
        <v>-998.5</v>
      </c>
      <c r="O4" s="410"/>
      <c r="P4" s="411">
        <f t="shared" ref="P4:P12" si="2">N4+O4</f>
        <v>-998.5</v>
      </c>
      <c r="Q4" s="412" t="e">
        <f t="shared" ref="Q4:Q12" si="3">((18.35*V4/($F$34-W4))*Z4)^0.5</f>
        <v>#DIV/0!</v>
      </c>
      <c r="R4" s="407" t="e">
        <f t="shared" ref="R4:R12" si="4">$F$36*P4</f>
        <v>#DIV/0!</v>
      </c>
      <c r="S4" s="413" t="e">
        <f t="shared" ref="S4:S12" si="5">$G$24/100*R4</f>
        <v>#DIV/0!</v>
      </c>
      <c r="U4" s="414">
        <f t="shared" ref="U4:U12" si="6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7">4142.8*(1.03-U4)/10</f>
        <v>426.08698000000015</v>
      </c>
      <c r="Y4" s="417" t="e">
        <f t="shared" ref="Y4:Y12" si="8">X4+$AB$5+0.5*($AC$5-$AD$5/$AE$5)</f>
        <v>#DIV/0!</v>
      </c>
      <c r="Z4" s="418" t="e">
        <f t="shared" ref="Z4:Z12" si="9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409"/>
      <c r="L5" s="409"/>
      <c r="M5" s="407">
        <f>(L5-1)*1000</f>
        <v>-1000</v>
      </c>
      <c r="N5" s="407">
        <f t="shared" si="1"/>
        <v>-998.5</v>
      </c>
      <c r="O5" s="410"/>
      <c r="P5" s="411">
        <f t="shared" si="2"/>
        <v>-998.5</v>
      </c>
      <c r="Q5" s="412" t="e">
        <f t="shared" si="3"/>
        <v>#DIV/0!</v>
      </c>
      <c r="R5" s="407" t="e">
        <f t="shared" si="4"/>
        <v>#DIV/0!</v>
      </c>
      <c r="S5" s="413" t="e">
        <f t="shared" si="5"/>
        <v>#DIV/0!</v>
      </c>
      <c r="U5" s="414">
        <f t="shared" si="6"/>
        <v>1.4999999999999458E-3</v>
      </c>
      <c r="V5" s="415">
        <f t="shared" ref="V5:V11" si="10">0.00178/(1+0.0337*K5+0.00022*K5^2)</f>
        <v>1.7799999999999999E-3</v>
      </c>
      <c r="W5" s="414">
        <f t="shared" ref="W5:W11" si="11">1/(1+((2.31*K5-2)^2-182)*0.00001)</f>
        <v>1.0017831740498087</v>
      </c>
      <c r="X5" s="416">
        <f t="shared" si="7"/>
        <v>426.08698000000015</v>
      </c>
      <c r="Y5" s="417" t="e">
        <f t="shared" si="8"/>
        <v>#DIV/0!</v>
      </c>
      <c r="Z5" s="418" t="e">
        <f t="shared" si="9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324</v>
      </c>
      <c r="I6" s="406">
        <f t="shared" si="0"/>
        <v>120</v>
      </c>
      <c r="J6" s="426">
        <v>2</v>
      </c>
      <c r="K6" s="409"/>
      <c r="L6" s="409"/>
      <c r="M6" s="407">
        <f>(L6-1)*1000</f>
        <v>-1000</v>
      </c>
      <c r="N6" s="407">
        <f t="shared" si="1"/>
        <v>-998.5</v>
      </c>
      <c r="O6" s="410"/>
      <c r="P6" s="411">
        <f t="shared" si="2"/>
        <v>-998.5</v>
      </c>
      <c r="Q6" s="412" t="e">
        <f t="shared" si="3"/>
        <v>#DIV/0!</v>
      </c>
      <c r="R6" s="407" t="e">
        <f t="shared" si="4"/>
        <v>#DIV/0!</v>
      </c>
      <c r="S6" s="413" t="e">
        <f t="shared" si="5"/>
        <v>#DIV/0!</v>
      </c>
      <c r="U6" s="414">
        <f t="shared" si="6"/>
        <v>1.4999999999999458E-3</v>
      </c>
      <c r="V6" s="415">
        <f t="shared" si="10"/>
        <v>1.7799999999999999E-3</v>
      </c>
      <c r="W6" s="414">
        <f t="shared" si="11"/>
        <v>1.0017831740498087</v>
      </c>
      <c r="X6" s="416">
        <f t="shared" si="7"/>
        <v>426.08698000000015</v>
      </c>
      <c r="Y6" s="417" t="e">
        <f t="shared" si="8"/>
        <v>#DIV/0!</v>
      </c>
      <c r="Z6" s="418" t="e">
        <f t="shared" si="9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409"/>
      <c r="L7" s="409"/>
      <c r="M7" s="407">
        <f>(L7-1)*1000</f>
        <v>-1000</v>
      </c>
      <c r="N7" s="407">
        <f t="shared" si="1"/>
        <v>-998.5</v>
      </c>
      <c r="O7" s="410"/>
      <c r="P7" s="411">
        <f t="shared" si="2"/>
        <v>-998.5</v>
      </c>
      <c r="Q7" s="412" t="e">
        <f t="shared" si="3"/>
        <v>#DIV/0!</v>
      </c>
      <c r="R7" s="407" t="e">
        <f t="shared" si="4"/>
        <v>#DIV/0!</v>
      </c>
      <c r="S7" s="413" t="e">
        <f t="shared" si="5"/>
        <v>#DIV/0!</v>
      </c>
      <c r="U7" s="414">
        <f t="shared" si="6"/>
        <v>1.4999999999999458E-3</v>
      </c>
      <c r="V7" s="415">
        <f t="shared" si="10"/>
        <v>1.7799999999999999E-3</v>
      </c>
      <c r="W7" s="414">
        <f t="shared" si="11"/>
        <v>1.0017831740498087</v>
      </c>
      <c r="X7" s="416">
        <f t="shared" si="7"/>
        <v>426.08698000000015</v>
      </c>
      <c r="Y7" s="417" t="e">
        <f t="shared" si="8"/>
        <v>#DIV/0!</v>
      </c>
      <c r="Z7" s="418" t="e">
        <f t="shared" si="9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409"/>
      <c r="L8" s="409"/>
      <c r="M8" s="407">
        <f>(L8-1)*1000</f>
        <v>-1000</v>
      </c>
      <c r="N8" s="407">
        <f t="shared" si="1"/>
        <v>-998.5</v>
      </c>
      <c r="O8" s="410"/>
      <c r="P8" s="411">
        <f t="shared" si="2"/>
        <v>-998.5</v>
      </c>
      <c r="Q8" s="412" t="e">
        <f t="shared" si="3"/>
        <v>#DIV/0!</v>
      </c>
      <c r="R8" s="407" t="e">
        <f t="shared" si="4"/>
        <v>#DIV/0!</v>
      </c>
      <c r="S8" s="413" t="e">
        <f t="shared" si="5"/>
        <v>#DIV/0!</v>
      </c>
      <c r="U8" s="414">
        <f t="shared" si="6"/>
        <v>1.4999999999999458E-3</v>
      </c>
      <c r="V8" s="415">
        <f t="shared" si="10"/>
        <v>1.7799999999999999E-3</v>
      </c>
      <c r="W8" s="414">
        <f t="shared" si="11"/>
        <v>1.0017831740498087</v>
      </c>
      <c r="X8" s="416">
        <f t="shared" si="7"/>
        <v>426.08698000000015</v>
      </c>
      <c r="Y8" s="417" t="e">
        <f t="shared" si="8"/>
        <v>#DIV/0!</v>
      </c>
      <c r="Z8" s="418" t="e">
        <f t="shared" si="9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409"/>
      <c r="L9" s="409"/>
      <c r="M9" s="407">
        <f>(K4-1)*1000</f>
        <v>-1000</v>
      </c>
      <c r="N9" s="407">
        <f t="shared" si="1"/>
        <v>-998.5</v>
      </c>
      <c r="O9" s="410"/>
      <c r="P9" s="411">
        <f t="shared" si="2"/>
        <v>-998.5</v>
      </c>
      <c r="Q9" s="412" t="e">
        <f t="shared" si="3"/>
        <v>#DIV/0!</v>
      </c>
      <c r="R9" s="407" t="e">
        <f t="shared" si="4"/>
        <v>#DIV/0!</v>
      </c>
      <c r="S9" s="413" t="e">
        <f t="shared" si="5"/>
        <v>#DIV/0!</v>
      </c>
      <c r="U9" s="414">
        <f t="shared" si="6"/>
        <v>1.4999999999999458E-3</v>
      </c>
      <c r="V9" s="415">
        <f t="shared" si="10"/>
        <v>1.7799999999999999E-3</v>
      </c>
      <c r="W9" s="414">
        <f t="shared" si="11"/>
        <v>1.0017831740498087</v>
      </c>
      <c r="X9" s="416">
        <f t="shared" si="7"/>
        <v>426.08698000000015</v>
      </c>
      <c r="Y9" s="417" t="e">
        <f t="shared" si="8"/>
        <v>#DIV/0!</v>
      </c>
      <c r="Z9" s="418" t="e">
        <f t="shared" si="9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409"/>
      <c r="L10" s="409"/>
      <c r="M10" s="407">
        <f>(L10-1)*1000</f>
        <v>-1000</v>
      </c>
      <c r="N10" s="407">
        <f t="shared" si="1"/>
        <v>-998.5</v>
      </c>
      <c r="O10" s="410"/>
      <c r="P10" s="411">
        <f t="shared" si="2"/>
        <v>-998.5</v>
      </c>
      <c r="Q10" s="412" t="e">
        <f t="shared" si="3"/>
        <v>#DIV/0!</v>
      </c>
      <c r="R10" s="407" t="e">
        <f t="shared" si="4"/>
        <v>#DIV/0!</v>
      </c>
      <c r="S10" s="413" t="e">
        <f t="shared" si="5"/>
        <v>#DIV/0!</v>
      </c>
      <c r="U10" s="414">
        <f t="shared" si="6"/>
        <v>1.4999999999999458E-3</v>
      </c>
      <c r="V10" s="415">
        <f t="shared" si="10"/>
        <v>1.7799999999999999E-3</v>
      </c>
      <c r="W10" s="414">
        <f t="shared" si="11"/>
        <v>1.0017831740498087</v>
      </c>
      <c r="X10" s="416">
        <f t="shared" si="7"/>
        <v>426.08698000000015</v>
      </c>
      <c r="Y10" s="417" t="e">
        <f t="shared" si="8"/>
        <v>#DIV/0!</v>
      </c>
      <c r="Z10" s="418" t="e">
        <f t="shared" si="9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2">E11/$E$26*100</f>
        <v>0</v>
      </c>
      <c r="G11" s="458">
        <v>100</v>
      </c>
      <c r="I11" s="406">
        <f t="shared" si="0"/>
        <v>21600</v>
      </c>
      <c r="J11" s="426">
        <v>360</v>
      </c>
      <c r="K11" s="409"/>
      <c r="L11" s="409"/>
      <c r="M11" s="407">
        <f>(L11-1)*1000</f>
        <v>-1000</v>
      </c>
      <c r="N11" s="407">
        <f t="shared" si="1"/>
        <v>-998.5</v>
      </c>
      <c r="O11" s="410"/>
      <c r="P11" s="411">
        <f t="shared" si="2"/>
        <v>-998.5</v>
      </c>
      <c r="Q11" s="412" t="e">
        <f t="shared" si="3"/>
        <v>#DIV/0!</v>
      </c>
      <c r="R11" s="407" t="e">
        <f t="shared" si="4"/>
        <v>#DIV/0!</v>
      </c>
      <c r="S11" s="413" t="e">
        <f t="shared" si="5"/>
        <v>#DIV/0!</v>
      </c>
      <c r="U11" s="414">
        <f t="shared" si="6"/>
        <v>1.4999999999999458E-3</v>
      </c>
      <c r="V11" s="415">
        <f t="shared" si="10"/>
        <v>1.7799999999999999E-3</v>
      </c>
      <c r="W11" s="414">
        <f t="shared" si="11"/>
        <v>1.0017831740498087</v>
      </c>
      <c r="X11" s="416">
        <f t="shared" si="7"/>
        <v>426.08698000000015</v>
      </c>
      <c r="Y11" s="417" t="e">
        <f t="shared" si="8"/>
        <v>#DIV/0!</v>
      </c>
      <c r="Z11" s="418" t="e">
        <f t="shared" si="9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2"/>
        <v>0</v>
      </c>
      <c r="G12" s="463">
        <f t="shared" ref="G12:G25" si="13">G11-F12</f>
        <v>100</v>
      </c>
      <c r="I12" s="464">
        <f t="shared" si="0"/>
        <v>86400</v>
      </c>
      <c r="J12" s="465">
        <v>1440</v>
      </c>
      <c r="K12" s="409"/>
      <c r="L12" s="409"/>
      <c r="M12" s="467">
        <f>(K12-1)*1000</f>
        <v>-1000</v>
      </c>
      <c r="N12" s="467">
        <f t="shared" si="1"/>
        <v>-998.5</v>
      </c>
      <c r="O12" s="410"/>
      <c r="P12" s="468">
        <f t="shared" si="2"/>
        <v>-998.5</v>
      </c>
      <c r="Q12" s="469" t="e">
        <f t="shared" si="3"/>
        <v>#REF!</v>
      </c>
      <c r="R12" s="467" t="e">
        <f t="shared" si="4"/>
        <v>#DIV/0!</v>
      </c>
      <c r="S12" s="470" t="e">
        <f t="shared" si="5"/>
        <v>#DIV/0!</v>
      </c>
      <c r="U12" s="414">
        <f t="shared" si="6"/>
        <v>1.4999999999999458E-3</v>
      </c>
      <c r="V12" s="415" t="e">
        <f>0.00178/(1+0.0337*#REF!+0.00022*#REF!^2)</f>
        <v>#REF!</v>
      </c>
      <c r="W12" s="414" t="e">
        <f>1/(1+((2.31*#REF!-2)^2-182)*0.00001)</f>
        <v>#REF!</v>
      </c>
      <c r="X12" s="416">
        <f t="shared" si="7"/>
        <v>426.08698000000015</v>
      </c>
      <c r="Y12" s="417" t="e">
        <f t="shared" si="8"/>
        <v>#DIV/0!</v>
      </c>
      <c r="Z12" s="418" t="e">
        <f t="shared" si="9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91.3</v>
      </c>
      <c r="E13" s="474">
        <f>D13</f>
        <v>91.3</v>
      </c>
      <c r="F13" s="457">
        <f t="shared" si="12"/>
        <v>28.254881936062869</v>
      </c>
      <c r="G13" s="475">
        <f t="shared" si="13"/>
        <v>71.745118063937127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57.5</v>
      </c>
      <c r="E14" s="474">
        <f>D14</f>
        <v>57.5</v>
      </c>
      <c r="F14" s="457">
        <f t="shared" si="12"/>
        <v>17.794695633336417</v>
      </c>
      <c r="G14" s="475">
        <f t="shared" si="13"/>
        <v>53.95042243060071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53.2</v>
      </c>
      <c r="E15" s="462">
        <f>D15</f>
        <v>53.2</v>
      </c>
      <c r="F15" s="479">
        <f t="shared" si="12"/>
        <v>16.46396187293039</v>
      </c>
      <c r="G15" s="480">
        <f t="shared" si="13"/>
        <v>37.48646055767032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635.29999999999995</v>
      </c>
      <c r="E16" s="485">
        <f t="shared" ref="E16:E24" si="14">D16-C16</f>
        <v>4.8999999999999773</v>
      </c>
      <c r="F16" s="457">
        <f t="shared" si="12"/>
        <v>1.516417540927792</v>
      </c>
      <c r="G16" s="463">
        <f t="shared" si="13"/>
        <v>35.97004301674253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541.33000000000004</v>
      </c>
      <c r="E17" s="487">
        <f t="shared" si="14"/>
        <v>22.030000000000086</v>
      </c>
      <c r="F17" s="457">
        <f t="shared" si="12"/>
        <v>6.8176894748243972</v>
      </c>
      <c r="G17" s="475">
        <f t="shared" si="13"/>
        <v>29.152353541918131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530.70000000000005</v>
      </c>
      <c r="E18" s="488">
        <f t="shared" si="14"/>
        <v>24.500000000000057</v>
      </c>
      <c r="F18" s="457">
        <f t="shared" si="12"/>
        <v>7.5820877046390134</v>
      </c>
      <c r="G18" s="475">
        <f t="shared" si="13"/>
        <v>21.570265837279116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400.2</v>
      </c>
      <c r="E19" s="487">
        <f t="shared" si="14"/>
        <v>16.399999999999977</v>
      </c>
      <c r="F19" s="457">
        <f t="shared" si="12"/>
        <v>5.0753566675950763</v>
      </c>
      <c r="G19" s="475">
        <f t="shared" si="13"/>
        <v>16.494909169684039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392.2</v>
      </c>
      <c r="E20" s="488">
        <f t="shared" si="14"/>
        <v>16</v>
      </c>
      <c r="F20" s="457">
        <f t="shared" si="12"/>
        <v>4.9515674805805689</v>
      </c>
      <c r="G20" s="475">
        <f t="shared" si="13"/>
        <v>11.543341689103471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25.608699999999999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341.7</v>
      </c>
      <c r="E21" s="487">
        <f t="shared" si="14"/>
        <v>10.899999999999977</v>
      </c>
      <c r="F21" s="457">
        <f t="shared" si="12"/>
        <v>3.3732553461455055</v>
      </c>
      <c r="G21" s="475">
        <f t="shared" si="13"/>
        <v>8.1700863429579655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0.52849999999999997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333.3</v>
      </c>
      <c r="E22" s="488">
        <f t="shared" si="14"/>
        <v>7.1999999999999886</v>
      </c>
      <c r="F22" s="457">
        <f t="shared" si="12"/>
        <v>2.2282053662612524</v>
      </c>
      <c r="G22" s="475">
        <f t="shared" si="13"/>
        <v>5.9418809766967131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48.455439924314099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307.8</v>
      </c>
      <c r="E23" s="487">
        <f t="shared" si="14"/>
        <v>3.4000000000000341</v>
      </c>
      <c r="F23" s="457">
        <f t="shared" si="12"/>
        <v>1.0522080896233814</v>
      </c>
      <c r="G23" s="490">
        <f t="shared" si="13"/>
        <v>4.8896728870733313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319.10000000000002</v>
      </c>
      <c r="E24" s="488">
        <f t="shared" si="14"/>
        <v>5.4000000000000341</v>
      </c>
      <c r="F24" s="492">
        <f t="shared" si="12"/>
        <v>1.6711540246959526</v>
      </c>
      <c r="G24" s="493">
        <f t="shared" si="13"/>
        <v>3.2185188623773788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3.3372227629999991E-3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370.3</v>
      </c>
      <c r="E25" s="496">
        <f>D25-C25+(G6-C26)</f>
        <v>10.400000000000034</v>
      </c>
      <c r="F25" s="457">
        <f t="shared" si="12"/>
        <v>3.2185188623773802</v>
      </c>
      <c r="G25" s="463">
        <f t="shared" si="13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316.39999999999998</v>
      </c>
      <c r="D26" s="498" t="s">
        <v>19</v>
      </c>
      <c r="E26" s="499">
        <f>SUM(E12:E25)</f>
        <v>323.13000000000017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0.86999999999983402</v>
      </c>
      <c r="F27" s="505">
        <f>IF((E27/G6*100)&gt;1,"Fehler zu groß",(E27/G6*100))</f>
        <v>0.26851851851846731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2.3749361992999996E-4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1.431E-3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1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157</v>
      </c>
      <c r="D3" s="385" t="s">
        <v>25</v>
      </c>
      <c r="E3" s="387"/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347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266.60000000000002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30.7</v>
      </c>
      <c r="E14" s="474">
        <f>D14</f>
        <v>30.7</v>
      </c>
      <c r="F14" s="457">
        <f t="shared" si="13"/>
        <v>11.532682193839216</v>
      </c>
      <c r="G14" s="475">
        <f t="shared" si="14"/>
        <v>88.467317806160779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26</v>
      </c>
      <c r="E15" s="462">
        <f>D15</f>
        <v>26</v>
      </c>
      <c r="F15" s="479">
        <f t="shared" si="13"/>
        <v>9.76709241172051</v>
      </c>
      <c r="G15" s="480">
        <f t="shared" si="14"/>
        <v>78.700225394440267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634.1</v>
      </c>
      <c r="E16" s="485">
        <f t="shared" ref="E16:E24" si="15">D16-C16</f>
        <v>3.7000000000000455</v>
      </c>
      <c r="F16" s="457">
        <f t="shared" si="13"/>
        <v>1.3899323816679359</v>
      </c>
      <c r="G16" s="463">
        <f t="shared" si="14"/>
        <v>77.310293012772334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541</v>
      </c>
      <c r="E17" s="487">
        <f t="shared" si="15"/>
        <v>21.700000000000045</v>
      </c>
      <c r="F17" s="457">
        <f t="shared" si="13"/>
        <v>8.1517655897821335</v>
      </c>
      <c r="G17" s="475">
        <f t="shared" si="14"/>
        <v>69.158527422990204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534.79999999999995</v>
      </c>
      <c r="E18" s="488">
        <f t="shared" si="15"/>
        <v>28.599999999999966</v>
      </c>
      <c r="F18" s="457">
        <f t="shared" si="13"/>
        <v>10.743801652892547</v>
      </c>
      <c r="G18" s="475">
        <f t="shared" si="14"/>
        <v>58.414725770097661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413.5</v>
      </c>
      <c r="E19" s="487">
        <f t="shared" si="15"/>
        <v>29.699999999999989</v>
      </c>
      <c r="F19" s="457">
        <f t="shared" si="13"/>
        <v>11.157024793388423</v>
      </c>
      <c r="G19" s="475">
        <f t="shared" si="14"/>
        <v>47.257700976709238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401</v>
      </c>
      <c r="E20" s="488">
        <f t="shared" si="15"/>
        <v>24.800000000000011</v>
      </c>
      <c r="F20" s="457">
        <f t="shared" si="13"/>
        <v>9.3163035311795657</v>
      </c>
      <c r="G20" s="475">
        <f t="shared" si="14"/>
        <v>37.941397445529674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349.5</v>
      </c>
      <c r="E21" s="487">
        <f t="shared" si="15"/>
        <v>18.699999999999989</v>
      </c>
      <c r="F21" s="457">
        <f t="shared" si="13"/>
        <v>7.0247933884297469</v>
      </c>
      <c r="G21" s="475">
        <f t="shared" si="14"/>
        <v>30.916604057099928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346.5</v>
      </c>
      <c r="E22" s="488">
        <f t="shared" si="15"/>
        <v>20.399999999999977</v>
      </c>
      <c r="F22" s="457">
        <f t="shared" si="13"/>
        <v>7.6634109691960823</v>
      </c>
      <c r="G22" s="475">
        <f t="shared" si="14"/>
        <v>23.253193087903846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322.10000000000002</v>
      </c>
      <c r="E23" s="487">
        <f t="shared" si="15"/>
        <v>17.700000000000045</v>
      </c>
      <c r="F23" s="457">
        <f t="shared" si="13"/>
        <v>6.6491359879789798</v>
      </c>
      <c r="G23" s="490">
        <f t="shared" si="14"/>
        <v>16.604057099924866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317.39999999999998</v>
      </c>
      <c r="E24" s="488">
        <f t="shared" si="15"/>
        <v>3.6999999999999886</v>
      </c>
      <c r="F24" s="492">
        <f t="shared" si="13"/>
        <v>1.3899323816679143</v>
      </c>
      <c r="G24" s="493">
        <f t="shared" si="14"/>
        <v>15.214124718256951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377.4</v>
      </c>
      <c r="E25" s="496">
        <f>D25-C25+(G6-C26)</f>
        <v>40.5</v>
      </c>
      <c r="F25" s="457">
        <f t="shared" si="13"/>
        <v>15.214124718256947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236</v>
      </c>
      <c r="D26" s="498" t="s">
        <v>19</v>
      </c>
      <c r="E26" s="499">
        <f>SUM(E12:E25)</f>
        <v>266.20000000000005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0.39999999999997726</v>
      </c>
      <c r="F27" s="505">
        <f>IF((E27/G6*100)&gt;1,"Fehler zu groß",(E27/G6*100))</f>
        <v>0.15003750937733579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158</v>
      </c>
      <c r="D3" s="385" t="s">
        <v>25</v>
      </c>
      <c r="E3" s="387">
        <v>40065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228.2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40.6</v>
      </c>
      <c r="E14" s="474">
        <f>D14</f>
        <v>40.6</v>
      </c>
      <c r="F14" s="457">
        <f t="shared" si="13"/>
        <v>17.822651448639157</v>
      </c>
      <c r="G14" s="475">
        <f t="shared" si="14"/>
        <v>82.177348551360836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26.2</v>
      </c>
      <c r="E15" s="462">
        <f>D15</f>
        <v>26.2</v>
      </c>
      <c r="F15" s="479">
        <f t="shared" si="13"/>
        <v>11.501316944688323</v>
      </c>
      <c r="G15" s="480">
        <f t="shared" si="14"/>
        <v>70.67603160667251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633</v>
      </c>
      <c r="E16" s="485">
        <f t="shared" ref="E16:E24" si="15">D16-C16</f>
        <v>2.6000000000000227</v>
      </c>
      <c r="F16" s="457">
        <f t="shared" si="13"/>
        <v>1.1413520632133549</v>
      </c>
      <c r="G16" s="463">
        <f t="shared" si="14"/>
        <v>69.534679543459148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533.9</v>
      </c>
      <c r="E17" s="487">
        <f t="shared" si="15"/>
        <v>14.600000000000023</v>
      </c>
      <c r="F17" s="457">
        <f t="shared" si="13"/>
        <v>6.4091308165057166</v>
      </c>
      <c r="G17" s="475">
        <f t="shared" si="14"/>
        <v>63.125548726953433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535</v>
      </c>
      <c r="E18" s="488">
        <f t="shared" si="15"/>
        <v>28.800000000000011</v>
      </c>
      <c r="F18" s="457">
        <f t="shared" si="13"/>
        <v>12.642669007901672</v>
      </c>
      <c r="G18" s="475">
        <f t="shared" si="14"/>
        <v>50.482879719051759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410.4</v>
      </c>
      <c r="E19" s="487">
        <f t="shared" si="15"/>
        <v>26.599999999999966</v>
      </c>
      <c r="F19" s="457">
        <f t="shared" si="13"/>
        <v>11.676909569798053</v>
      </c>
      <c r="G19" s="475">
        <f t="shared" si="14"/>
        <v>38.80597014925371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401.6</v>
      </c>
      <c r="E20" s="488">
        <f t="shared" si="15"/>
        <v>25.400000000000034</v>
      </c>
      <c r="F20" s="457">
        <f t="shared" si="13"/>
        <v>11.150131694468847</v>
      </c>
      <c r="G20" s="475">
        <f t="shared" si="14"/>
        <v>27.655838454784863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3.4921000000000002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349.4</v>
      </c>
      <c r="E21" s="487">
        <f t="shared" si="15"/>
        <v>18.599999999999966</v>
      </c>
      <c r="F21" s="457">
        <f t="shared" si="13"/>
        <v>8.1650570676031453</v>
      </c>
      <c r="G21" s="475">
        <f t="shared" si="14"/>
        <v>19.49078138718172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0.1268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341</v>
      </c>
      <c r="E22" s="488">
        <f t="shared" si="15"/>
        <v>14.899999999999977</v>
      </c>
      <c r="F22" s="457">
        <f t="shared" si="13"/>
        <v>6.5408252853380064</v>
      </c>
      <c r="G22" s="475">
        <f t="shared" si="14"/>
        <v>12.949956101843714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27.540220820189276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313.7</v>
      </c>
      <c r="E23" s="487">
        <f t="shared" si="15"/>
        <v>9.3000000000000114</v>
      </c>
      <c r="F23" s="457">
        <f t="shared" si="13"/>
        <v>4.0825285338015851</v>
      </c>
      <c r="G23" s="490">
        <f t="shared" si="14"/>
        <v>8.8674275680421282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</v>
      </c>
      <c r="E24" s="488">
        <f t="shared" si="15"/>
        <v>3.6000000000000227</v>
      </c>
      <c r="F24" s="492">
        <f t="shared" si="13"/>
        <v>1.5803336259877183</v>
      </c>
      <c r="G24" s="493">
        <f t="shared" si="14"/>
        <v>7.2870939420544101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1.9210281151999997E-4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373.9</v>
      </c>
      <c r="E25" s="496">
        <f>D25-C25+(G6-C26)</f>
        <v>16.599999999999966</v>
      </c>
      <c r="F25" s="457">
        <f t="shared" si="13"/>
        <v>7.2870939420544181</v>
      </c>
      <c r="G25" s="463">
        <f t="shared" si="14"/>
        <v>-7.9936057773011271E-15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218</v>
      </c>
      <c r="D26" s="498" t="s">
        <v>19</v>
      </c>
      <c r="E26" s="499">
        <f>SUM(E12:E25)</f>
        <v>227.8</v>
      </c>
      <c r="F26" s="500">
        <f>SUM(F12:F25)</f>
        <v>99.999999999999972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0.39999999999997726</v>
      </c>
      <c r="F27" s="505">
        <f>IF((E27/G6*100)&gt;1,"Fehler zu groß",(E27/G6*100))</f>
        <v>0.17528483786151502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1.3671005907199998E-5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3.122E-4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159</v>
      </c>
      <c r="D3" s="385" t="s">
        <v>25</v>
      </c>
      <c r="E3" s="387">
        <v>40066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289.3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39.1</v>
      </c>
      <c r="E13" s="474">
        <f>D13</f>
        <v>39.1</v>
      </c>
      <c r="F13" s="457">
        <f t="shared" si="13"/>
        <v>13.534094842506047</v>
      </c>
      <c r="G13" s="475">
        <f t="shared" si="14"/>
        <v>86.46590515749395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7.3</v>
      </c>
      <c r="E14" s="474">
        <f>D14</f>
        <v>7.3</v>
      </c>
      <c r="F14" s="457">
        <f t="shared" si="13"/>
        <v>2.5268258913118706</v>
      </c>
      <c r="G14" s="475">
        <f t="shared" si="14"/>
        <v>83.939079266182077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54.2</v>
      </c>
      <c r="E15" s="462">
        <f>D15</f>
        <v>54.2</v>
      </c>
      <c r="F15" s="479">
        <f t="shared" si="13"/>
        <v>18.760816891657999</v>
      </c>
      <c r="G15" s="480">
        <f t="shared" si="14"/>
        <v>65.178262374524081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635.5</v>
      </c>
      <c r="E16" s="485">
        <f t="shared" ref="E16:E24" si="15">D16-C16</f>
        <v>5.1000000000000227</v>
      </c>
      <c r="F16" s="457">
        <f t="shared" si="13"/>
        <v>1.7653167185877532</v>
      </c>
      <c r="G16" s="463">
        <f t="shared" si="14"/>
        <v>63.412945655936326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539.20000000000005</v>
      </c>
      <c r="E17" s="487">
        <f t="shared" si="15"/>
        <v>19.900000000000091</v>
      </c>
      <c r="F17" s="457">
        <f t="shared" si="13"/>
        <v>6.8881966078228025</v>
      </c>
      <c r="G17" s="475">
        <f t="shared" si="14"/>
        <v>56.52474904811352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544.20000000000005</v>
      </c>
      <c r="E18" s="488">
        <f t="shared" si="15"/>
        <v>38.000000000000057</v>
      </c>
      <c r="F18" s="457">
        <f t="shared" si="13"/>
        <v>13.153340256144006</v>
      </c>
      <c r="G18" s="475">
        <f t="shared" si="14"/>
        <v>43.371408791969515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415.3</v>
      </c>
      <c r="E19" s="487">
        <f t="shared" si="15"/>
        <v>31.5</v>
      </c>
      <c r="F19" s="457">
        <f t="shared" si="13"/>
        <v>10.903426791277251</v>
      </c>
      <c r="G19" s="475">
        <f t="shared" si="14"/>
        <v>32.46798200069226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405.6</v>
      </c>
      <c r="E20" s="488">
        <f t="shared" si="15"/>
        <v>29.400000000000034</v>
      </c>
      <c r="F20" s="457">
        <f t="shared" si="13"/>
        <v>10.176531671858779</v>
      </c>
      <c r="G20" s="475">
        <f t="shared" si="14"/>
        <v>22.291450328833481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5.1666999999999996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350.3</v>
      </c>
      <c r="E21" s="487">
        <f t="shared" si="15"/>
        <v>19.5</v>
      </c>
      <c r="F21" s="457">
        <f t="shared" si="13"/>
        <v>6.7497403946002024</v>
      </c>
      <c r="G21" s="475">
        <f t="shared" si="14"/>
        <v>15.541709934233278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0.18609999999999999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340.5</v>
      </c>
      <c r="E22" s="488">
        <f t="shared" si="15"/>
        <v>14.399999999999977</v>
      </c>
      <c r="F22" s="457">
        <f t="shared" si="13"/>
        <v>4.9844236760124501</v>
      </c>
      <c r="G22" s="475">
        <f t="shared" si="14"/>
        <v>10.557286258220827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27.763030628694249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314.7</v>
      </c>
      <c r="E23" s="487">
        <f t="shared" si="15"/>
        <v>10.300000000000011</v>
      </c>
      <c r="F23" s="457">
        <f t="shared" si="13"/>
        <v>3.5652474904811369</v>
      </c>
      <c r="G23" s="490">
        <f t="shared" si="14"/>
        <v>6.9920387677396905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317.2</v>
      </c>
      <c r="E24" s="488">
        <f t="shared" si="15"/>
        <v>3.5</v>
      </c>
      <c r="F24" s="492">
        <f t="shared" si="13"/>
        <v>1.2114918656974722</v>
      </c>
      <c r="G24" s="493">
        <f t="shared" si="14"/>
        <v>5.780546902042218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4.1379759307999986E-4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372.2</v>
      </c>
      <c r="E25" s="496">
        <f>D25-C25+(G6-C26)</f>
        <v>16.699999999999989</v>
      </c>
      <c r="F25" s="457">
        <f t="shared" si="13"/>
        <v>5.7805469020422207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277.3</v>
      </c>
      <c r="D26" s="498" t="s">
        <v>19</v>
      </c>
      <c r="E26" s="499">
        <f>SUM(E12:E25)</f>
        <v>288.9000000000002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0.39999999999980673</v>
      </c>
      <c r="F27" s="505">
        <f>IF((E27/G6*100)&gt;1,"Fehler zu groß",(E27/G6*100))</f>
        <v>0.13826477704798021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2.9447925798799999E-5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4.7009999999999999E-4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160</v>
      </c>
      <c r="D3" s="385" t="s">
        <v>25</v>
      </c>
      <c r="E3" s="387">
        <v>40066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250.4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47.1</v>
      </c>
      <c r="E13" s="474">
        <f>D13</f>
        <v>47.1</v>
      </c>
      <c r="F13" s="457">
        <f t="shared" si="13"/>
        <v>18.976631748589845</v>
      </c>
      <c r="G13" s="475">
        <f t="shared" si="14"/>
        <v>81.023368251410147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6.8</v>
      </c>
      <c r="E14" s="474">
        <f>D14</f>
        <v>6.8</v>
      </c>
      <c r="F14" s="457">
        <f t="shared" si="13"/>
        <v>2.7397260273972597</v>
      </c>
      <c r="G14" s="475">
        <f t="shared" si="14"/>
        <v>78.283642224012894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28</v>
      </c>
      <c r="E15" s="462">
        <f>D15</f>
        <v>28</v>
      </c>
      <c r="F15" s="479">
        <f t="shared" si="13"/>
        <v>11.281224818694598</v>
      </c>
      <c r="G15" s="480">
        <f t="shared" si="14"/>
        <v>67.002417405318297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633.9</v>
      </c>
      <c r="E16" s="485">
        <f t="shared" ref="E16:E24" si="15">D16-C16</f>
        <v>3.5</v>
      </c>
      <c r="F16" s="457">
        <f t="shared" si="13"/>
        <v>1.4101531023368248</v>
      </c>
      <c r="G16" s="463">
        <f t="shared" si="14"/>
        <v>65.592264302981476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546.5</v>
      </c>
      <c r="E17" s="487">
        <f t="shared" si="15"/>
        <v>27.200000000000045</v>
      </c>
      <c r="F17" s="457">
        <f t="shared" si="13"/>
        <v>10.958904109589056</v>
      </c>
      <c r="G17" s="475">
        <f t="shared" si="14"/>
        <v>54.63336019339242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541.79999999999995</v>
      </c>
      <c r="E18" s="488">
        <f t="shared" si="15"/>
        <v>35.599999999999966</v>
      </c>
      <c r="F18" s="457">
        <f t="shared" si="13"/>
        <v>14.343271555197404</v>
      </c>
      <c r="G18" s="475">
        <f t="shared" si="14"/>
        <v>40.290088638195016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405.6</v>
      </c>
      <c r="E19" s="487">
        <f t="shared" si="15"/>
        <v>21.800000000000011</v>
      </c>
      <c r="F19" s="457">
        <f t="shared" si="13"/>
        <v>8.783239323126514</v>
      </c>
      <c r="G19" s="475">
        <f t="shared" si="14"/>
        <v>31.5068493150685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390.1</v>
      </c>
      <c r="E20" s="488">
        <f t="shared" si="15"/>
        <v>13.900000000000034</v>
      </c>
      <c r="F20" s="457">
        <f t="shared" si="13"/>
        <v>5.6003223207091182</v>
      </c>
      <c r="G20" s="475">
        <f t="shared" si="14"/>
        <v>25.906526994359382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5.1291000000000002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354</v>
      </c>
      <c r="E21" s="487">
        <f t="shared" si="15"/>
        <v>23.199999999999989</v>
      </c>
      <c r="F21" s="457">
        <f t="shared" si="13"/>
        <v>9.3473005640612357</v>
      </c>
      <c r="G21" s="475">
        <f t="shared" si="14"/>
        <v>16.559226430298146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0.26529999999999998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350.3</v>
      </c>
      <c r="E22" s="488">
        <f t="shared" si="15"/>
        <v>24.199999999999989</v>
      </c>
      <c r="F22" s="457">
        <f t="shared" si="13"/>
        <v>9.7502014504431838</v>
      </c>
      <c r="G22" s="475">
        <f t="shared" si="14"/>
        <v>6.8090249798549625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19.333207689408219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309.7</v>
      </c>
      <c r="E23" s="487">
        <f t="shared" si="15"/>
        <v>5.3000000000000114</v>
      </c>
      <c r="F23" s="457">
        <f t="shared" si="13"/>
        <v>2.1353746978243393</v>
      </c>
      <c r="G23" s="490">
        <f t="shared" si="14"/>
        <v>4.6736502820306232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316.5</v>
      </c>
      <c r="E24" s="488">
        <f t="shared" si="15"/>
        <v>2.8000000000000114</v>
      </c>
      <c r="F24" s="492">
        <f t="shared" si="13"/>
        <v>1.1281224818694644</v>
      </c>
      <c r="G24" s="493">
        <f t="shared" si="14"/>
        <v>3.5455278001611585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8.4094910731999969E-4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369.9</v>
      </c>
      <c r="E25" s="496">
        <f>D25-C25+(G6-C26)</f>
        <v>8.7999999999999829</v>
      </c>
      <c r="F25" s="457">
        <f t="shared" si="13"/>
        <v>3.5455278001611532</v>
      </c>
      <c r="G25" s="463">
        <f t="shared" si="14"/>
        <v>5.3290705182007514E-15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244</v>
      </c>
      <c r="D26" s="498" t="s">
        <v>19</v>
      </c>
      <c r="E26" s="499">
        <f>SUM(E12:E25)</f>
        <v>248.20000000000005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2.1999999999999602</v>
      </c>
      <c r="F27" s="505">
        <f>IF((E27/G6*100)&gt;1,"Fehler zu groß",(E27/G6*100))</f>
        <v>0.87859424920126195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5.9846184045199995E-5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6.3409999999999996E-4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161</v>
      </c>
      <c r="D3" s="385" t="s">
        <v>25</v>
      </c>
      <c r="E3" s="387">
        <v>40066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10</v>
      </c>
      <c r="D6" s="433"/>
      <c r="E6" s="401" t="s">
        <v>41</v>
      </c>
      <c r="F6" s="434"/>
      <c r="G6" s="435">
        <v>262.5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24.4</v>
      </c>
      <c r="E15" s="462">
        <f>D15</f>
        <v>24.4</v>
      </c>
      <c r="F15" s="479">
        <f t="shared" si="13"/>
        <v>9.327217125382262</v>
      </c>
      <c r="G15" s="480">
        <f t="shared" si="14"/>
        <v>90.672782874617738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638</v>
      </c>
      <c r="E16" s="485">
        <f t="shared" ref="E16:E24" si="15">D16-C16</f>
        <v>7.6000000000000227</v>
      </c>
      <c r="F16" s="457">
        <f t="shared" si="13"/>
        <v>2.905198776758418</v>
      </c>
      <c r="G16" s="463">
        <f t="shared" si="14"/>
        <v>87.767584097859327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549.4</v>
      </c>
      <c r="E17" s="487">
        <f t="shared" si="15"/>
        <v>30.100000000000023</v>
      </c>
      <c r="F17" s="457">
        <f t="shared" si="13"/>
        <v>11.506116207951077</v>
      </c>
      <c r="G17" s="475">
        <f t="shared" si="14"/>
        <v>76.261467889908246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543.6</v>
      </c>
      <c r="E18" s="488">
        <f t="shared" si="15"/>
        <v>37.400000000000034</v>
      </c>
      <c r="F18" s="457">
        <f t="shared" si="13"/>
        <v>14.296636085626924</v>
      </c>
      <c r="G18" s="475">
        <f t="shared" si="14"/>
        <v>61.964831804281324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414.4</v>
      </c>
      <c r="E19" s="487">
        <f t="shared" si="15"/>
        <v>30.599999999999966</v>
      </c>
      <c r="F19" s="457">
        <f t="shared" si="13"/>
        <v>11.697247706422004</v>
      </c>
      <c r="G19" s="475">
        <f t="shared" si="14"/>
        <v>50.26758409785932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402.4</v>
      </c>
      <c r="E20" s="488">
        <f t="shared" si="15"/>
        <v>26.199999999999989</v>
      </c>
      <c r="F20" s="457">
        <f t="shared" si="13"/>
        <v>10.01529051987767</v>
      </c>
      <c r="G20" s="475">
        <f t="shared" si="14"/>
        <v>40.252293577981646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1.8290999999999999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357</v>
      </c>
      <c r="E21" s="487">
        <f t="shared" si="15"/>
        <v>26.199999999999989</v>
      </c>
      <c r="F21" s="457">
        <f t="shared" si="13"/>
        <v>10.01529051987767</v>
      </c>
      <c r="G21" s="475">
        <f t="shared" si="14"/>
        <v>30.237003058103976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6.3E-2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352.8</v>
      </c>
      <c r="E22" s="488">
        <f t="shared" si="15"/>
        <v>26.699999999999989</v>
      </c>
      <c r="F22" s="457">
        <f t="shared" si="13"/>
        <v>10.206422018348619</v>
      </c>
      <c r="G22" s="475">
        <f t="shared" si="14"/>
        <v>20.030581039755358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29.033333333333331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317.89999999999998</v>
      </c>
      <c r="E23" s="487">
        <f t="shared" si="15"/>
        <v>13.5</v>
      </c>
      <c r="F23" s="457">
        <f t="shared" si="13"/>
        <v>5.1605504587155959</v>
      </c>
      <c r="G23" s="490">
        <f t="shared" si="14"/>
        <v>14.870030581039762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326.5</v>
      </c>
      <c r="E24" s="488">
        <f t="shared" si="15"/>
        <v>12.800000000000011</v>
      </c>
      <c r="F24" s="492">
        <f t="shared" si="13"/>
        <v>4.8929663608562732</v>
      </c>
      <c r="G24" s="493">
        <f t="shared" si="14"/>
        <v>9.9770642201834896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4.7421611999999993E-5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384.1</v>
      </c>
      <c r="E25" s="496">
        <f>D25-C25+(G6-C26)</f>
        <v>26.100000000000023</v>
      </c>
      <c r="F25" s="457">
        <f t="shared" si="13"/>
        <v>9.9770642201834949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253</v>
      </c>
      <c r="D26" s="498" t="s">
        <v>19</v>
      </c>
      <c r="E26" s="499">
        <f>SUM(E12:E25)</f>
        <v>261.60000000000002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0.89999999999997726</v>
      </c>
      <c r="F27" s="505">
        <f>IF((E27/G6*100)&gt;1,"Fehler zu groß",(E27/G6*100))</f>
        <v>0.3428571428571342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3.3747613200000002E-6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1.0119999999999999E-4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T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162</v>
      </c>
      <c r="D3" s="385" t="s">
        <v>25</v>
      </c>
      <c r="E3" s="387">
        <v>40066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394.2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70</v>
      </c>
      <c r="E13" s="474">
        <f>D13</f>
        <v>70</v>
      </c>
      <c r="F13" s="457">
        <f t="shared" si="13"/>
        <v>17.807173747138133</v>
      </c>
      <c r="G13" s="475">
        <f t="shared" si="14"/>
        <v>82.192826252861863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27.3</v>
      </c>
      <c r="E14" s="474">
        <f>D14</f>
        <v>27.3</v>
      </c>
      <c r="F14" s="457">
        <f t="shared" si="13"/>
        <v>6.9447977613838709</v>
      </c>
      <c r="G14" s="475">
        <f t="shared" si="14"/>
        <v>75.248028491477996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90.9</v>
      </c>
      <c r="E15" s="462">
        <f>D15</f>
        <v>90.9</v>
      </c>
      <c r="F15" s="479">
        <f t="shared" si="13"/>
        <v>23.123887051640803</v>
      </c>
      <c r="G15" s="480">
        <f t="shared" si="14"/>
        <v>52.124141439837189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643.70000000000005</v>
      </c>
      <c r="E16" s="485">
        <f t="shared" ref="E16:E24" si="15">D16-C16</f>
        <v>13.300000000000068</v>
      </c>
      <c r="F16" s="457">
        <f t="shared" si="13"/>
        <v>3.3833630119562628</v>
      </c>
      <c r="G16" s="463">
        <f t="shared" si="14"/>
        <v>48.740778427880926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552.9</v>
      </c>
      <c r="E17" s="487">
        <f t="shared" si="15"/>
        <v>33.600000000000023</v>
      </c>
      <c r="F17" s="457">
        <f t="shared" si="13"/>
        <v>8.5474433986263083</v>
      </c>
      <c r="G17" s="475">
        <f t="shared" si="14"/>
        <v>40.193335029254619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541.29999999999995</v>
      </c>
      <c r="E18" s="488">
        <f t="shared" si="15"/>
        <v>35.099999999999966</v>
      </c>
      <c r="F18" s="457">
        <f t="shared" si="13"/>
        <v>8.9290256932078265</v>
      </c>
      <c r="G18" s="475">
        <f t="shared" si="14"/>
        <v>31.264309336046793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410.1</v>
      </c>
      <c r="E19" s="487">
        <f t="shared" si="15"/>
        <v>26.300000000000011</v>
      </c>
      <c r="F19" s="457">
        <f t="shared" si="13"/>
        <v>6.6904095649961874</v>
      </c>
      <c r="G19" s="475">
        <f t="shared" si="14"/>
        <v>24.573899771050606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406.7</v>
      </c>
      <c r="E20" s="488">
        <f t="shared" si="15"/>
        <v>30.5</v>
      </c>
      <c r="F20" s="457">
        <f t="shared" si="13"/>
        <v>7.7588399898244713</v>
      </c>
      <c r="G20" s="475">
        <f t="shared" si="14"/>
        <v>16.815059781226132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13.3766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356.1</v>
      </c>
      <c r="E21" s="487">
        <f t="shared" si="15"/>
        <v>25.300000000000011</v>
      </c>
      <c r="F21" s="457">
        <f t="shared" si="13"/>
        <v>6.4360213686084995</v>
      </c>
      <c r="G21" s="475">
        <f t="shared" si="14"/>
        <v>10.379038412617632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345.7</v>
      </c>
      <c r="E22" s="488">
        <f t="shared" si="15"/>
        <v>19.599999999999966</v>
      </c>
      <c r="F22" s="457">
        <f t="shared" si="13"/>
        <v>4.9860086491986682</v>
      </c>
      <c r="G22" s="475">
        <f t="shared" si="14"/>
        <v>5.3930297634189639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35.201578947368418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314.39999999999998</v>
      </c>
      <c r="E23" s="487">
        <f t="shared" si="15"/>
        <v>10</v>
      </c>
      <c r="F23" s="457">
        <f t="shared" si="13"/>
        <v>2.5438819638768759</v>
      </c>
      <c r="G23" s="490">
        <f t="shared" si="14"/>
        <v>2.849147799542088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317.7</v>
      </c>
      <c r="E24" s="488">
        <f t="shared" si="15"/>
        <v>4</v>
      </c>
      <c r="F24" s="492">
        <f t="shared" si="13"/>
        <v>1.0175527855507505</v>
      </c>
      <c r="G24" s="493">
        <f t="shared" si="14"/>
        <v>1.8315950139913375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1.7252911999999995E-3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371.7</v>
      </c>
      <c r="E25" s="496">
        <f>D25-C25+(G6-C26)</f>
        <v>7.1999999999999886</v>
      </c>
      <c r="F25" s="457">
        <f t="shared" si="13"/>
        <v>1.8315950139913477</v>
      </c>
      <c r="G25" s="463">
        <f t="shared" si="14"/>
        <v>-1.021405182655144E-14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391.2</v>
      </c>
      <c r="D26" s="498" t="s">
        <v>19</v>
      </c>
      <c r="E26" s="499">
        <f>SUM(E12:E25)</f>
        <v>393.1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1.0999999999999659</v>
      </c>
      <c r="F27" s="505">
        <f>IF((E27/G6*100)&gt;1,"Fehler zu groß",(E27/G6*100))</f>
        <v>0.27904616945711974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1.22780432E-4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1.725E-3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topLeftCell="U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163</v>
      </c>
      <c r="D3" s="385" t="s">
        <v>25</v>
      </c>
      <c r="E3" s="387">
        <v>40067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262.39999999999998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20.100000000000001</v>
      </c>
      <c r="E13" s="474">
        <f>D13</f>
        <v>20.100000000000001</v>
      </c>
      <c r="F13" s="457">
        <f t="shared" si="13"/>
        <v>7.6600609756097517</v>
      </c>
      <c r="G13" s="475">
        <f t="shared" si="14"/>
        <v>92.339939024390247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44.1</v>
      </c>
      <c r="E14" s="474">
        <f>D14</f>
        <v>44.1</v>
      </c>
      <c r="F14" s="457">
        <f t="shared" si="13"/>
        <v>16.806402439024382</v>
      </c>
      <c r="G14" s="475">
        <f t="shared" si="14"/>
        <v>75.533536585365866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43.3</v>
      </c>
      <c r="E15" s="462">
        <f>D15</f>
        <v>43.3</v>
      </c>
      <c r="F15" s="479">
        <f t="shared" si="13"/>
        <v>16.50152439024389</v>
      </c>
      <c r="G15" s="480">
        <f t="shared" si="14"/>
        <v>59.032012195121979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637.4</v>
      </c>
      <c r="E16" s="485">
        <f t="shared" ref="E16:E24" si="15">D16-C16</f>
        <v>7</v>
      </c>
      <c r="F16" s="457">
        <f t="shared" si="13"/>
        <v>2.6676829268292668</v>
      </c>
      <c r="G16" s="463">
        <f t="shared" si="14"/>
        <v>56.364329268292714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536.1</v>
      </c>
      <c r="E17" s="487">
        <f t="shared" si="15"/>
        <v>16.800000000000068</v>
      </c>
      <c r="F17" s="457">
        <f t="shared" si="13"/>
        <v>6.402439024390266</v>
      </c>
      <c r="G17" s="475">
        <f t="shared" si="14"/>
        <v>49.961890243902445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525.70000000000005</v>
      </c>
      <c r="E18" s="488">
        <f t="shared" si="15"/>
        <v>19.500000000000057</v>
      </c>
      <c r="F18" s="457">
        <f t="shared" si="13"/>
        <v>7.4314024390244082</v>
      </c>
      <c r="G18" s="475">
        <f t="shared" si="14"/>
        <v>42.530487804878035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401</v>
      </c>
      <c r="E19" s="487">
        <f t="shared" si="15"/>
        <v>17.199999999999989</v>
      </c>
      <c r="F19" s="457">
        <f t="shared" si="13"/>
        <v>6.5548780487804796</v>
      </c>
      <c r="G19" s="475">
        <f t="shared" si="14"/>
        <v>35.975609756097555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398.3</v>
      </c>
      <c r="E20" s="488">
        <f t="shared" si="15"/>
        <v>22.100000000000023</v>
      </c>
      <c r="F20" s="457">
        <f t="shared" si="13"/>
        <v>8.4222560975609788</v>
      </c>
      <c r="G20" s="475">
        <f t="shared" si="14"/>
        <v>27.553353658536576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10.6061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369.1</v>
      </c>
      <c r="E21" s="487">
        <f t="shared" si="15"/>
        <v>38.300000000000011</v>
      </c>
      <c r="F21" s="457">
        <f t="shared" si="13"/>
        <v>14.596036585365848</v>
      </c>
      <c r="G21" s="475">
        <f t="shared" si="14"/>
        <v>12.957317073170728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0.31209999999999999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343.5</v>
      </c>
      <c r="E22" s="488">
        <f t="shared" si="15"/>
        <v>17.399999999999977</v>
      </c>
      <c r="F22" s="457">
        <f t="shared" si="13"/>
        <v>6.631097560975598</v>
      </c>
      <c r="G22" s="475">
        <f t="shared" si="14"/>
        <v>6.3262195121951299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33.983018263377126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307.3</v>
      </c>
      <c r="E23" s="487">
        <f t="shared" si="15"/>
        <v>2.9000000000000341</v>
      </c>
      <c r="F23" s="457">
        <f t="shared" si="13"/>
        <v>1.1051829268292808</v>
      </c>
      <c r="G23" s="490">
        <f t="shared" si="14"/>
        <v>5.2210365853658489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320.8</v>
      </c>
      <c r="E24" s="488">
        <f t="shared" si="15"/>
        <v>7.1000000000000227</v>
      </c>
      <c r="F24" s="492">
        <f t="shared" si="13"/>
        <v>2.7057926829268366</v>
      </c>
      <c r="G24" s="493">
        <f t="shared" si="14"/>
        <v>2.5152439024390123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1.1638117866799998E-3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370.9</v>
      </c>
      <c r="E25" s="496">
        <f>D25-C25+(G6-C26)</f>
        <v>6.5999999999999659</v>
      </c>
      <c r="F25" s="457">
        <f t="shared" si="13"/>
        <v>2.5152439024390101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259.2</v>
      </c>
      <c r="D26" s="498" t="s">
        <v>19</v>
      </c>
      <c r="E26" s="499">
        <f>SUM(E12:E25)</f>
        <v>262.40000000000015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</v>
      </c>
      <c r="F27" s="505">
        <f>IF((E27/G6*100)&gt;1,"Fehler zu groß",(E27/G6*100))</f>
        <v>0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8.2822722294799994E-5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8.8509999999999999E-4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U10" zoomScale="85" zoomScaleNormal="85" workbookViewId="0">
      <selection activeCell="W30" sqref="W30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164</v>
      </c>
      <c r="D3" s="385" t="s">
        <v>25</v>
      </c>
      <c r="E3" s="387">
        <v>40070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>
        <v>21</v>
      </c>
      <c r="L4" s="409">
        <v>1.0149999999999999</v>
      </c>
      <c r="M4" s="407">
        <f t="shared" ref="M4:M12" si="1">(L4-1)*1000</f>
        <v>14.999999999999902</v>
      </c>
      <c r="N4" s="407">
        <f t="shared" ref="N4:N12" si="2">M4+$G$33</f>
        <v>16.499999999999847</v>
      </c>
      <c r="O4" s="410">
        <v>0.2</v>
      </c>
      <c r="P4" s="411">
        <f t="shared" ref="P4:P12" si="3">N4+O4</f>
        <v>16.699999999999847</v>
      </c>
      <c r="Q4" s="412">
        <f t="shared" ref="Q4:Q12" si="4">((18.35*V4/($F$34-W4))*Z4)^0.5</f>
        <v>7.1125275925129045E-2</v>
      </c>
      <c r="R4" s="407">
        <f t="shared" ref="R4:R12" si="5">$F$36*P4</f>
        <v>89.107017013992944</v>
      </c>
      <c r="S4" s="413">
        <f t="shared" ref="S4:S12" si="6">$G$24/100*R4</f>
        <v>12.411137947285605</v>
      </c>
      <c r="U4" s="414">
        <f t="shared" ref="U4:U12" si="7">1+0.001*N4</f>
        <v>1.0164999999999997</v>
      </c>
      <c r="V4" s="415">
        <f>0.00178/(1+0.0337*K5+0.00022*K5^2)</f>
        <v>9.863025843344119E-4</v>
      </c>
      <c r="W4" s="414">
        <f>1/(1+((2.31*K5-2)^2-182)*0.00001)</f>
        <v>0.98057308124835096</v>
      </c>
      <c r="X4" s="416">
        <f t="shared" ref="X4:X12" si="8">4142.8*(1.03-U4)/10</f>
        <v>5.5927800000001202</v>
      </c>
      <c r="Y4" s="417">
        <f t="shared" ref="Y4:Y12" si="9">X4+$AB$5+0.5*($AC$5-$AD$5/$AE$5)</f>
        <v>13.998785387853044</v>
      </c>
      <c r="Z4" s="418">
        <f t="shared" ref="Z4:Z12" si="10">Y4/I4</f>
        <v>0.46662617959510144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>
        <v>21</v>
      </c>
      <c r="L5" s="409">
        <v>1.0129999999999999</v>
      </c>
      <c r="M5" s="407">
        <f t="shared" si="1"/>
        <v>12.999999999999901</v>
      </c>
      <c r="N5" s="407">
        <f t="shared" si="2"/>
        <v>14.499999999999847</v>
      </c>
      <c r="O5" s="410">
        <v>0.2</v>
      </c>
      <c r="P5" s="411">
        <f t="shared" si="3"/>
        <v>14.699999999999847</v>
      </c>
      <c r="Q5" s="412">
        <f t="shared" si="4"/>
        <v>5.1760145762974795E-2</v>
      </c>
      <c r="R5" s="407">
        <f t="shared" si="5"/>
        <v>78.43551797040088</v>
      </c>
      <c r="S5" s="413">
        <f t="shared" si="6"/>
        <v>10.924774121263363</v>
      </c>
      <c r="U5" s="414">
        <f t="shared" si="7"/>
        <v>1.0145</v>
      </c>
      <c r="V5" s="415">
        <f t="shared" ref="V5:V12" si="11">0.00178/(1+0.0337*K5+0.00022*K5^2)</f>
        <v>9.863025843344119E-4</v>
      </c>
      <c r="W5" s="414">
        <f t="shared" ref="W5:W12" si="12">1/(1+((2.31*K5-2)^2-182)*0.00001)</f>
        <v>0.98057308124835096</v>
      </c>
      <c r="X5" s="416">
        <f t="shared" si="8"/>
        <v>6.4213400000000291</v>
      </c>
      <c r="Y5" s="417">
        <f t="shared" si="9"/>
        <v>14.827345387852954</v>
      </c>
      <c r="Z5" s="418">
        <f t="shared" si="10"/>
        <v>0.24712242313088256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10</v>
      </c>
      <c r="D6" s="433"/>
      <c r="E6" s="401" t="s">
        <v>41</v>
      </c>
      <c r="F6" s="434"/>
      <c r="G6" s="435">
        <v>325.89999999999998</v>
      </c>
      <c r="I6" s="406">
        <f t="shared" si="0"/>
        <v>120</v>
      </c>
      <c r="J6" s="426">
        <v>2</v>
      </c>
      <c r="K6" s="853">
        <v>21</v>
      </c>
      <c r="L6" s="409">
        <v>1.0089999999999999</v>
      </c>
      <c r="M6" s="407">
        <f t="shared" si="1"/>
        <v>8.999999999999897</v>
      </c>
      <c r="N6" s="407">
        <f t="shared" si="2"/>
        <v>10.499999999999844</v>
      </c>
      <c r="O6" s="410">
        <v>0.2</v>
      </c>
      <c r="P6" s="411">
        <f t="shared" si="3"/>
        <v>10.699999999999843</v>
      </c>
      <c r="Q6" s="412">
        <f t="shared" si="4"/>
        <v>3.8591017042748983E-2</v>
      </c>
      <c r="R6" s="407">
        <f t="shared" si="5"/>
        <v>57.092519883216724</v>
      </c>
      <c r="S6" s="413">
        <f t="shared" si="6"/>
        <v>7.9520464692188764</v>
      </c>
      <c r="U6" s="414">
        <f t="shared" si="7"/>
        <v>1.0105</v>
      </c>
      <c r="V6" s="415">
        <f t="shared" si="11"/>
        <v>9.863025843344119E-4</v>
      </c>
      <c r="W6" s="414">
        <f t="shared" si="12"/>
        <v>0.98057308124835096</v>
      </c>
      <c r="X6" s="416">
        <f t="shared" si="8"/>
        <v>8.0784600000000317</v>
      </c>
      <c r="Y6" s="417">
        <f t="shared" si="9"/>
        <v>16.484465387852957</v>
      </c>
      <c r="Z6" s="418">
        <f t="shared" si="10"/>
        <v>0.13737054489877465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>
        <v>21</v>
      </c>
      <c r="L7" s="409">
        <v>1.0069999999999999</v>
      </c>
      <c r="M7" s="407">
        <f t="shared" si="1"/>
        <v>6.9999999999998952</v>
      </c>
      <c r="N7" s="407">
        <f t="shared" si="2"/>
        <v>8.4999999999998401</v>
      </c>
      <c r="O7" s="410">
        <v>0.2</v>
      </c>
      <c r="P7" s="411">
        <f t="shared" si="3"/>
        <v>8.6999999999998394</v>
      </c>
      <c r="Q7" s="412">
        <f t="shared" si="4"/>
        <v>2.501297041328376E-2</v>
      </c>
      <c r="R7" s="407">
        <f t="shared" si="5"/>
        <v>46.421020839624639</v>
      </c>
      <c r="S7" s="413">
        <f t="shared" si="6"/>
        <v>6.465682643196633</v>
      </c>
      <c r="U7" s="414">
        <f t="shared" si="7"/>
        <v>1.0084999999999997</v>
      </c>
      <c r="V7" s="415">
        <f t="shared" si="11"/>
        <v>9.863025843344119E-4</v>
      </c>
      <c r="W7" s="414">
        <f t="shared" si="12"/>
        <v>0.98057308124835096</v>
      </c>
      <c r="X7" s="416">
        <f t="shared" si="8"/>
        <v>8.9070200000001236</v>
      </c>
      <c r="Y7" s="417">
        <f t="shared" si="9"/>
        <v>17.313025387853045</v>
      </c>
      <c r="Z7" s="418">
        <f t="shared" si="10"/>
        <v>5.771008462617682E-2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>
        <v>21</v>
      </c>
      <c r="L8" s="409">
        <v>1.004</v>
      </c>
      <c r="M8" s="407">
        <f t="shared" si="1"/>
        <v>4.0000000000000036</v>
      </c>
      <c r="N8" s="407">
        <f t="shared" si="2"/>
        <v>5.4999999999999494</v>
      </c>
      <c r="O8" s="410">
        <v>0.2</v>
      </c>
      <c r="P8" s="411">
        <f t="shared" si="3"/>
        <v>5.6999999999999496</v>
      </c>
      <c r="Q8" s="412">
        <f t="shared" si="4"/>
        <v>1.495060494208921E-2</v>
      </c>
      <c r="R8" s="407">
        <f t="shared" si="5"/>
        <v>30.413772274237122</v>
      </c>
      <c r="S8" s="413">
        <f t="shared" si="6"/>
        <v>4.2361369041633514</v>
      </c>
      <c r="U8" s="414">
        <f t="shared" si="7"/>
        <v>1.0055000000000001</v>
      </c>
      <c r="V8" s="415">
        <f t="shared" si="11"/>
        <v>9.863025843344119E-4</v>
      </c>
      <c r="W8" s="414">
        <f t="shared" si="12"/>
        <v>0.98057308124835096</v>
      </c>
      <c r="X8" s="416">
        <f t="shared" si="8"/>
        <v>10.149859999999986</v>
      </c>
      <c r="Y8" s="417">
        <f t="shared" si="9"/>
        <v>18.555865387852911</v>
      </c>
      <c r="Z8" s="418">
        <f t="shared" si="10"/>
        <v>2.0617628208725456E-2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>
        <v>21</v>
      </c>
      <c r="L9" s="409">
        <v>1.0024999999999999</v>
      </c>
      <c r="M9" s="407">
        <f t="shared" si="1"/>
        <v>2.4999999999999467</v>
      </c>
      <c r="N9" s="407">
        <f t="shared" si="2"/>
        <v>3.9999999999998925</v>
      </c>
      <c r="O9" s="410">
        <v>0.2</v>
      </c>
      <c r="P9" s="411">
        <f t="shared" si="3"/>
        <v>4.1999999999998927</v>
      </c>
      <c r="Q9" s="412">
        <f t="shared" si="4"/>
        <v>8.7750802602027476E-3</v>
      </c>
      <c r="R9" s="407">
        <f t="shared" si="5"/>
        <v>22.410147991542768</v>
      </c>
      <c r="S9" s="413">
        <f t="shared" si="6"/>
        <v>3.1213640346466276</v>
      </c>
      <c r="U9" s="414">
        <f t="shared" si="7"/>
        <v>1.004</v>
      </c>
      <c r="V9" s="415">
        <f t="shared" si="11"/>
        <v>9.863025843344119E-4</v>
      </c>
      <c r="W9" s="414">
        <f t="shared" si="12"/>
        <v>0.98057308124835096</v>
      </c>
      <c r="X9" s="416">
        <f t="shared" si="8"/>
        <v>10.77128000000001</v>
      </c>
      <c r="Y9" s="417">
        <f t="shared" si="9"/>
        <v>19.177285387852933</v>
      </c>
      <c r="Z9" s="418">
        <f t="shared" si="10"/>
        <v>7.1026982917973824E-3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>
        <v>21</v>
      </c>
      <c r="L10" s="409">
        <v>1.0009999999999999</v>
      </c>
      <c r="M10" s="407">
        <f t="shared" si="1"/>
        <v>0.99999999999988987</v>
      </c>
      <c r="N10" s="407">
        <f t="shared" si="2"/>
        <v>2.4999999999998357</v>
      </c>
      <c r="O10" s="410">
        <v>0.2</v>
      </c>
      <c r="P10" s="411">
        <f t="shared" si="3"/>
        <v>2.6999999999998359</v>
      </c>
      <c r="Q10" s="412">
        <f t="shared" si="4"/>
        <v>5.4599864160039032E-3</v>
      </c>
      <c r="R10" s="407">
        <f t="shared" si="5"/>
        <v>14.406523708848415</v>
      </c>
      <c r="S10" s="413">
        <f t="shared" si="6"/>
        <v>2.0065911651299042</v>
      </c>
      <c r="U10" s="414">
        <f t="shared" si="7"/>
        <v>1.0024999999999999</v>
      </c>
      <c r="V10" s="415">
        <f t="shared" si="11"/>
        <v>9.863025843344119E-4</v>
      </c>
      <c r="W10" s="414">
        <f t="shared" si="12"/>
        <v>0.98057308124835096</v>
      </c>
      <c r="X10" s="416">
        <f t="shared" si="8"/>
        <v>11.392700000000033</v>
      </c>
      <c r="Y10" s="417">
        <f t="shared" si="9"/>
        <v>19.798705387852955</v>
      </c>
      <c r="Z10" s="418">
        <f t="shared" si="10"/>
        <v>2.7498201927573548E-3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>
        <v>21</v>
      </c>
      <c r="L11" s="409">
        <v>1.0004999999999999</v>
      </c>
      <c r="M11" s="407">
        <f t="shared" si="1"/>
        <v>0.49999999999994493</v>
      </c>
      <c r="N11" s="407">
        <f t="shared" si="2"/>
        <v>1.9999999999998908</v>
      </c>
      <c r="O11" s="410">
        <v>0.2</v>
      </c>
      <c r="P11" s="411">
        <f t="shared" si="3"/>
        <v>2.1999999999998909</v>
      </c>
      <c r="Q11" s="412">
        <f t="shared" si="4"/>
        <v>3.1687720029814899E-3</v>
      </c>
      <c r="R11" s="407">
        <f t="shared" si="5"/>
        <v>11.738648947950692</v>
      </c>
      <c r="S11" s="413">
        <f t="shared" si="6"/>
        <v>1.6350002086243849</v>
      </c>
      <c r="U11" s="414">
        <f t="shared" si="7"/>
        <v>1.0019999999999998</v>
      </c>
      <c r="V11" s="415">
        <f t="shared" si="11"/>
        <v>9.863025843344119E-4</v>
      </c>
      <c r="W11" s="414">
        <f t="shared" si="12"/>
        <v>0.98057308124835096</v>
      </c>
      <c r="X11" s="416">
        <f t="shared" si="8"/>
        <v>11.599840000000103</v>
      </c>
      <c r="Y11" s="417">
        <f t="shared" si="9"/>
        <v>20.005845387853029</v>
      </c>
      <c r="Z11" s="418">
        <f t="shared" si="10"/>
        <v>9.2619654573393656E-4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>
        <v>21</v>
      </c>
      <c r="L12" s="466">
        <v>1</v>
      </c>
      <c r="M12" s="467">
        <f t="shared" si="1"/>
        <v>0</v>
      </c>
      <c r="N12" s="467">
        <f t="shared" si="2"/>
        <v>1.4999999999999458</v>
      </c>
      <c r="O12" s="410">
        <v>0.2</v>
      </c>
      <c r="P12" s="468">
        <f t="shared" si="3"/>
        <v>1.6999999999999458</v>
      </c>
      <c r="Q12" s="469">
        <f t="shared" si="4"/>
        <v>1.592567224597037E-3</v>
      </c>
      <c r="R12" s="467">
        <f t="shared" si="5"/>
        <v>9.0707741870529688</v>
      </c>
      <c r="S12" s="470">
        <f t="shared" si="6"/>
        <v>1.2634092521188653</v>
      </c>
      <c r="U12" s="414">
        <f t="shared" si="7"/>
        <v>1.0015000000000001</v>
      </c>
      <c r="V12" s="415">
        <f t="shared" si="11"/>
        <v>9.863025843344119E-4</v>
      </c>
      <c r="W12" s="414">
        <f t="shared" si="12"/>
        <v>0.98057308124835096</v>
      </c>
      <c r="X12" s="416">
        <f t="shared" si="8"/>
        <v>11.806979999999989</v>
      </c>
      <c r="Y12" s="417">
        <f t="shared" si="9"/>
        <v>20.21298538785291</v>
      </c>
      <c r="Z12" s="418">
        <f t="shared" si="10"/>
        <v>2.3394659013718647E-4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100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20.2</v>
      </c>
      <c r="E15" s="462">
        <f>D15</f>
        <v>20.2</v>
      </c>
      <c r="F15" s="479">
        <f t="shared" si="13"/>
        <v>6.2384187770228516</v>
      </c>
      <c r="G15" s="480">
        <f t="shared" si="14"/>
        <v>93.761581222977142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641</v>
      </c>
      <c r="E16" s="485">
        <f t="shared" ref="E16:E24" si="15">D16-C16</f>
        <v>10.600000000000023</v>
      </c>
      <c r="F16" s="457">
        <f t="shared" si="13"/>
        <v>3.2736256948733846</v>
      </c>
      <c r="G16" s="463">
        <f t="shared" si="14"/>
        <v>90.487955528103754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553.4</v>
      </c>
      <c r="E17" s="487">
        <f t="shared" si="15"/>
        <v>34.100000000000023</v>
      </c>
      <c r="F17" s="457">
        <f t="shared" si="13"/>
        <v>10.531192093885119</v>
      </c>
      <c r="G17" s="475">
        <f t="shared" si="14"/>
        <v>79.95676343421863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549.6</v>
      </c>
      <c r="E18" s="488">
        <f t="shared" si="15"/>
        <v>43.400000000000034</v>
      </c>
      <c r="F18" s="457">
        <f t="shared" si="13"/>
        <v>13.403335392217425</v>
      </c>
      <c r="G18" s="475">
        <f t="shared" si="14"/>
        <v>66.553428042001201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420.4</v>
      </c>
      <c r="E19" s="487">
        <f t="shared" si="15"/>
        <v>36.599999999999966</v>
      </c>
      <c r="F19" s="457">
        <f t="shared" si="13"/>
        <v>11.30327362569486</v>
      </c>
      <c r="G19" s="475">
        <f t="shared" si="14"/>
        <v>55.250154416306344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409</v>
      </c>
      <c r="E20" s="488">
        <f t="shared" si="15"/>
        <v>32.800000000000011</v>
      </c>
      <c r="F20" s="457">
        <f t="shared" si="13"/>
        <v>10.129709697344042</v>
      </c>
      <c r="G20" s="475">
        <f t="shared" si="14"/>
        <v>45.120444718962304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360.6</v>
      </c>
      <c r="E21" s="487">
        <f t="shared" si="15"/>
        <v>29.800000000000011</v>
      </c>
      <c r="F21" s="457">
        <f t="shared" si="13"/>
        <v>9.2032118591723311</v>
      </c>
      <c r="G21" s="475">
        <f t="shared" si="14"/>
        <v>35.917232859789976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363.5</v>
      </c>
      <c r="E22" s="488">
        <f t="shared" si="15"/>
        <v>37.399999999999977</v>
      </c>
      <c r="F22" s="457">
        <f t="shared" si="13"/>
        <v>11.550339715873987</v>
      </c>
      <c r="G22" s="475">
        <f t="shared" si="14"/>
        <v>24.366893143915988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331.4</v>
      </c>
      <c r="E23" s="487">
        <f t="shared" si="15"/>
        <v>27</v>
      </c>
      <c r="F23" s="457">
        <f t="shared" si="13"/>
        <v>8.3384805435453977</v>
      </c>
      <c r="G23" s="490">
        <f t="shared" si="14"/>
        <v>16.02841260037059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320.5</v>
      </c>
      <c r="E24" s="488">
        <f t="shared" si="15"/>
        <v>6.8000000000000114</v>
      </c>
      <c r="F24" s="492">
        <f t="shared" si="13"/>
        <v>2.1000617665225478</v>
      </c>
      <c r="G24" s="493">
        <f t="shared" si="14"/>
        <v>13.928350833848043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398.1</v>
      </c>
      <c r="E25" s="496">
        <f>D25-C25+(G6-C26)</f>
        <v>45.100000000000023</v>
      </c>
      <c r="F25" s="457">
        <f t="shared" si="13"/>
        <v>13.928350833848057</v>
      </c>
      <c r="G25" s="463">
        <f t="shared" si="14"/>
        <v>-1.4210854715202004E-14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311.39999999999998</v>
      </c>
      <c r="D26" s="498" t="s">
        <v>19</v>
      </c>
      <c r="E26" s="499">
        <f>SUM(E12:E25)</f>
        <v>323.80000000000007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2.0999999999999091</v>
      </c>
      <c r="F27" s="505">
        <f>IF((E27/G6*100)&gt;1,"Fehler zu groß",(E27/G6*100))</f>
        <v>0.64436943847803285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>
        <v>30.1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5.3357495217960338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1.0096059999999998E-4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165</v>
      </c>
      <c r="D3" s="385" t="s">
        <v>25</v>
      </c>
      <c r="E3" s="387">
        <v>40070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327.3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33.299999999999997</v>
      </c>
      <c r="E14" s="474">
        <f>D14</f>
        <v>33.299999999999997</v>
      </c>
      <c r="F14" s="457">
        <f t="shared" si="13"/>
        <v>10.217858238723533</v>
      </c>
      <c r="G14" s="475">
        <f t="shared" si="14"/>
        <v>89.782141761276463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61.8</v>
      </c>
      <c r="E15" s="462">
        <f>D15</f>
        <v>61.8</v>
      </c>
      <c r="F15" s="479">
        <f t="shared" si="13"/>
        <v>18.962872046640069</v>
      </c>
      <c r="G15" s="480">
        <f t="shared" si="14"/>
        <v>70.819269714636391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</v>
      </c>
      <c r="E16" s="485">
        <f t="shared" ref="E16:E24" si="15">D16-C16</f>
        <v>8.6000000000000227</v>
      </c>
      <c r="F16" s="457">
        <f t="shared" si="13"/>
        <v>2.6388462718625409</v>
      </c>
      <c r="G16" s="463">
        <f t="shared" si="14"/>
        <v>68.180423442773844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544.9</v>
      </c>
      <c r="E17" s="487">
        <f t="shared" si="15"/>
        <v>25.600000000000023</v>
      </c>
      <c r="F17" s="457">
        <f t="shared" si="13"/>
        <v>7.8551702976373177</v>
      </c>
      <c r="G17" s="475">
        <f t="shared" si="14"/>
        <v>60.325253145136529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536.9</v>
      </c>
      <c r="E18" s="488">
        <f t="shared" si="15"/>
        <v>30.699999999999989</v>
      </c>
      <c r="F18" s="457">
        <f t="shared" si="13"/>
        <v>9.4200675053697402</v>
      </c>
      <c r="G18" s="475">
        <f t="shared" si="14"/>
        <v>50.905185639766785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407.2</v>
      </c>
      <c r="E19" s="487">
        <f t="shared" si="15"/>
        <v>23.399999999999977</v>
      </c>
      <c r="F19" s="457">
        <f t="shared" si="13"/>
        <v>7.180116600184097</v>
      </c>
      <c r="G19" s="475">
        <f t="shared" si="14"/>
        <v>43.725069039582685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423.6</v>
      </c>
      <c r="E20" s="488">
        <f t="shared" si="15"/>
        <v>47.400000000000034</v>
      </c>
      <c r="F20" s="457">
        <f t="shared" si="13"/>
        <v>14.544338754219094</v>
      </c>
      <c r="G20" s="475">
        <f t="shared" si="14"/>
        <v>29.180730285363591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3.9361999999999999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368.4</v>
      </c>
      <c r="E21" s="487">
        <f t="shared" si="15"/>
        <v>37.599999999999966</v>
      </c>
      <c r="F21" s="457">
        <f t="shared" si="13"/>
        <v>11.537281374654789</v>
      </c>
      <c r="G21" s="475">
        <f t="shared" si="14"/>
        <v>17.643448910708802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0.16839999999999999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349.3</v>
      </c>
      <c r="E22" s="488">
        <f t="shared" si="15"/>
        <v>23.199999999999989</v>
      </c>
      <c r="F22" s="457">
        <f t="shared" si="13"/>
        <v>7.1187480822338101</v>
      </c>
      <c r="G22" s="475">
        <f t="shared" si="14"/>
        <v>10.524700828474991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23.374109263657957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310.5</v>
      </c>
      <c r="E23" s="487">
        <f t="shared" si="15"/>
        <v>6.1000000000000227</v>
      </c>
      <c r="F23" s="457">
        <f t="shared" si="13"/>
        <v>1.8717397974838976</v>
      </c>
      <c r="G23" s="490">
        <f t="shared" si="14"/>
        <v>8.6529610309910936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321.2</v>
      </c>
      <c r="E24" s="488">
        <f t="shared" si="15"/>
        <v>7.5</v>
      </c>
      <c r="F24" s="492">
        <f t="shared" si="13"/>
        <v>2.3013194231359311</v>
      </c>
      <c r="G24" s="493">
        <f t="shared" si="14"/>
        <v>6.3516416078551625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3.3882807487999988E-4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379.3</v>
      </c>
      <c r="E25" s="496">
        <f>D25-C25+(G6-C26)</f>
        <v>20.700000000000045</v>
      </c>
      <c r="F25" s="457">
        <f t="shared" si="13"/>
        <v>6.3516416078551838</v>
      </c>
      <c r="G25" s="463">
        <f t="shared" si="14"/>
        <v>-2.1316282072803006E-14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318.39999999999998</v>
      </c>
      <c r="D26" s="498" t="s">
        <v>19</v>
      </c>
      <c r="E26" s="499">
        <f>SUM(E12:E25)</f>
        <v>325.90000000000003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1.3999999999999773</v>
      </c>
      <c r="F27" s="505">
        <f>IF((E27/G6*100)&gt;1,"Fehler zu groß",(E27/G6*100))</f>
        <v>0.42774213260005417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2.4112716396799998E-5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3.347E-4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13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166</v>
      </c>
      <c r="D3" s="385" t="s">
        <v>25</v>
      </c>
      <c r="E3" s="387">
        <v>40071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345.7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14.1</v>
      </c>
      <c r="E14" s="474">
        <f>D14</f>
        <v>14.1</v>
      </c>
      <c r="F14" s="457">
        <f t="shared" si="13"/>
        <v>4.0952657566076098</v>
      </c>
      <c r="G14" s="475">
        <f t="shared" si="14"/>
        <v>95.904734243392397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66.900000000000006</v>
      </c>
      <c r="E15" s="462">
        <f>D15</f>
        <v>66.900000000000006</v>
      </c>
      <c r="F15" s="479">
        <f t="shared" si="13"/>
        <v>19.430729015393556</v>
      </c>
      <c r="G15" s="480">
        <f t="shared" si="14"/>
        <v>76.474005227998845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638.9</v>
      </c>
      <c r="E16" s="485">
        <f t="shared" ref="E16:E24" si="15">D16-C16</f>
        <v>8.5</v>
      </c>
      <c r="F16" s="457">
        <f t="shared" si="13"/>
        <v>2.468777229160616</v>
      </c>
      <c r="G16" s="463">
        <f t="shared" si="14"/>
        <v>74.005227998838222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559.29999999999995</v>
      </c>
      <c r="E17" s="487">
        <f t="shared" si="15"/>
        <v>40</v>
      </c>
      <c r="F17" s="457">
        <f t="shared" si="13"/>
        <v>11.617775196049958</v>
      </c>
      <c r="G17" s="475">
        <f t="shared" si="14"/>
        <v>62.38745280278826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542.79999999999995</v>
      </c>
      <c r="E18" s="488">
        <f t="shared" si="15"/>
        <v>36.599999999999966</v>
      </c>
      <c r="F18" s="457">
        <f t="shared" si="13"/>
        <v>10.630264304385701</v>
      </c>
      <c r="G18" s="475">
        <f t="shared" si="14"/>
        <v>51.757188498402556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412.6</v>
      </c>
      <c r="E19" s="487">
        <f t="shared" si="15"/>
        <v>28.800000000000011</v>
      </c>
      <c r="F19" s="457">
        <f t="shared" si="13"/>
        <v>8.3647981411559726</v>
      </c>
      <c r="G19" s="475">
        <f t="shared" si="14"/>
        <v>43.392390357246583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435.6</v>
      </c>
      <c r="E20" s="488">
        <f t="shared" si="15"/>
        <v>59.400000000000034</v>
      </c>
      <c r="F20" s="457">
        <f t="shared" si="13"/>
        <v>17.252396166134197</v>
      </c>
      <c r="G20" s="475">
        <f t="shared" si="14"/>
        <v>26.139994191112386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3.5472000000000001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381.7</v>
      </c>
      <c r="E21" s="487">
        <f t="shared" si="15"/>
        <v>50.899999999999977</v>
      </c>
      <c r="F21" s="457">
        <f t="shared" si="13"/>
        <v>14.783618936973564</v>
      </c>
      <c r="G21" s="475">
        <f t="shared" si="14"/>
        <v>11.356375254138822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0.34470000000000001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342.4</v>
      </c>
      <c r="E22" s="488">
        <f t="shared" si="15"/>
        <v>16.299999999999955</v>
      </c>
      <c r="F22" s="457">
        <f t="shared" si="13"/>
        <v>4.7342433923903453</v>
      </c>
      <c r="G22" s="475">
        <f t="shared" si="14"/>
        <v>6.6221318617484766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10.290687554395126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311.10000000000002</v>
      </c>
      <c r="E23" s="487">
        <f t="shared" si="15"/>
        <v>6.7000000000000455</v>
      </c>
      <c r="F23" s="457">
        <f t="shared" si="13"/>
        <v>1.9459773453383813</v>
      </c>
      <c r="G23" s="490">
        <f t="shared" si="14"/>
        <v>4.6761545164100955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317.39999999999998</v>
      </c>
      <c r="E24" s="488">
        <f t="shared" si="15"/>
        <v>3.6999999999999886</v>
      </c>
      <c r="F24" s="492">
        <f t="shared" si="13"/>
        <v>1.0746442056346177</v>
      </c>
      <c r="G24" s="493">
        <f t="shared" si="14"/>
        <v>3.6015103107754776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1.4196385393199997E-3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373.3</v>
      </c>
      <c r="E25" s="496">
        <f>D25-C25+(G6-C26)</f>
        <v>12.399999999999977</v>
      </c>
      <c r="F25" s="457">
        <f t="shared" si="13"/>
        <v>3.6015103107754807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339.1</v>
      </c>
      <c r="D26" s="498" t="s">
        <v>19</v>
      </c>
      <c r="E26" s="499">
        <f>SUM(E12:E25)</f>
        <v>344.29999999999995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1.4000000000000341</v>
      </c>
      <c r="F27" s="505">
        <f>IF((E27/G6*100)&gt;1,"Fehler zu groß",(E27/G6*100))</f>
        <v>0.40497541220712585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1.0102864556520001E-4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8.8150000000000001E-4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167</v>
      </c>
      <c r="D3" s="385" t="s">
        <v>25</v>
      </c>
      <c r="E3" s="387">
        <v>40071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369.2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24.3</v>
      </c>
      <c r="E14" s="474">
        <f>D14</f>
        <v>24.3</v>
      </c>
      <c r="F14" s="457">
        <f t="shared" si="13"/>
        <v>6.5889370932754865</v>
      </c>
      <c r="G14" s="475">
        <f t="shared" si="14"/>
        <v>93.41106290672451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87.6</v>
      </c>
      <c r="E15" s="462">
        <f>D15</f>
        <v>87.6</v>
      </c>
      <c r="F15" s="479">
        <f t="shared" si="13"/>
        <v>23.752711496746194</v>
      </c>
      <c r="G15" s="480">
        <f t="shared" si="14"/>
        <v>69.658351409978309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643.9</v>
      </c>
      <c r="E16" s="485">
        <f t="shared" ref="E16:E24" si="15">D16-C16</f>
        <v>13.5</v>
      </c>
      <c r="F16" s="457">
        <f t="shared" si="13"/>
        <v>3.6605206073752701</v>
      </c>
      <c r="G16" s="463">
        <f t="shared" si="14"/>
        <v>65.997830802603033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555.6</v>
      </c>
      <c r="E17" s="487">
        <f t="shared" si="15"/>
        <v>36.300000000000068</v>
      </c>
      <c r="F17" s="457">
        <f t="shared" si="13"/>
        <v>9.8427331887201888</v>
      </c>
      <c r="G17" s="475">
        <f t="shared" si="14"/>
        <v>56.155097613882845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559.20000000000005</v>
      </c>
      <c r="E18" s="488">
        <f t="shared" si="15"/>
        <v>53.000000000000057</v>
      </c>
      <c r="F18" s="457">
        <f t="shared" si="13"/>
        <v>14.370932754880705</v>
      </c>
      <c r="G18" s="475">
        <f t="shared" si="14"/>
        <v>41.784164859002139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424</v>
      </c>
      <c r="E19" s="487">
        <f t="shared" si="15"/>
        <v>40.199999999999989</v>
      </c>
      <c r="F19" s="457">
        <f t="shared" si="13"/>
        <v>10.900216919739689</v>
      </c>
      <c r="G19" s="475">
        <f t="shared" si="14"/>
        <v>30.883947939262448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416</v>
      </c>
      <c r="E20" s="488">
        <f t="shared" si="15"/>
        <v>39.800000000000011</v>
      </c>
      <c r="F20" s="457">
        <f t="shared" si="13"/>
        <v>10.79175704989154</v>
      </c>
      <c r="G20" s="475">
        <f t="shared" si="14"/>
        <v>20.092190889370908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4.9153000000000002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366.7</v>
      </c>
      <c r="E21" s="487">
        <f t="shared" si="15"/>
        <v>35.899999999999977</v>
      </c>
      <c r="F21" s="457">
        <f t="shared" si="13"/>
        <v>9.7342733188720079</v>
      </c>
      <c r="G21" s="475">
        <f t="shared" si="14"/>
        <v>10.3579175704989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0.38600000000000001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342.1</v>
      </c>
      <c r="E22" s="488">
        <f t="shared" si="15"/>
        <v>16</v>
      </c>
      <c r="F22" s="457">
        <f t="shared" si="13"/>
        <v>4.3383947939262457</v>
      </c>
      <c r="G22" s="475">
        <f t="shared" si="14"/>
        <v>6.0195227765726544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12.733937823834196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311.7</v>
      </c>
      <c r="E23" s="487">
        <f t="shared" si="15"/>
        <v>7.3000000000000114</v>
      </c>
      <c r="F23" s="457">
        <f t="shared" si="13"/>
        <v>1.9793926247288527</v>
      </c>
      <c r="G23" s="490">
        <f t="shared" si="14"/>
        <v>4.040130151843802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318.10000000000002</v>
      </c>
      <c r="E24" s="488">
        <f t="shared" si="15"/>
        <v>4.4000000000000341</v>
      </c>
      <c r="F24" s="492">
        <f t="shared" si="13"/>
        <v>1.1930585683297268</v>
      </c>
      <c r="G24" s="493">
        <f t="shared" si="14"/>
        <v>2.847071583514075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1.7802042079999999E-3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</v>
      </c>
      <c r="E25" s="496">
        <f>D25-C25+(G6-C26)</f>
        <v>10.5</v>
      </c>
      <c r="F25" s="457">
        <f t="shared" si="13"/>
        <v>2.8470715835140989</v>
      </c>
      <c r="G25" s="463">
        <f t="shared" si="14"/>
        <v>-2.3980817331903381E-14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364.2</v>
      </c>
      <c r="D26" s="498" t="s">
        <v>19</v>
      </c>
      <c r="E26" s="499">
        <f>SUM(E12:E25)</f>
        <v>368.80000000000013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0.39999999999986358</v>
      </c>
      <c r="F27" s="505">
        <f>IF((E27/G6*100)&gt;1,"Fehler zu groß",(E27/G6*100))</f>
        <v>0.10834236186345167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1.2668831888000003E-4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1.7802042079999999E-3</v>
      </c>
      <c r="W36" s="839">
        <v>1.2520000000000001E-3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168</v>
      </c>
      <c r="D3" s="385" t="s">
        <v>25</v>
      </c>
      <c r="E3" s="387">
        <v>40071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278.10000000000002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24.5</v>
      </c>
      <c r="E13" s="474">
        <f>D13</f>
        <v>24.5</v>
      </c>
      <c r="F13" s="457">
        <f t="shared" si="13"/>
        <v>8.8479595521848982</v>
      </c>
      <c r="G13" s="475">
        <f t="shared" si="14"/>
        <v>91.152040447815097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18.100000000000001</v>
      </c>
      <c r="E14" s="474">
        <f>D14</f>
        <v>18.100000000000001</v>
      </c>
      <c r="F14" s="457">
        <f t="shared" si="13"/>
        <v>6.5366558324304753</v>
      </c>
      <c r="G14" s="475">
        <f t="shared" si="14"/>
        <v>84.615384615384627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42.4</v>
      </c>
      <c r="E15" s="462">
        <f>D15</f>
        <v>42.4</v>
      </c>
      <c r="F15" s="479">
        <f t="shared" si="13"/>
        <v>15.312387143373046</v>
      </c>
      <c r="G15" s="480">
        <f t="shared" si="14"/>
        <v>69.302997472011583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635.70000000000005</v>
      </c>
      <c r="E16" s="485">
        <f t="shared" ref="E16:E24" si="15">D16-C16</f>
        <v>5.3000000000000682</v>
      </c>
      <c r="F16" s="457">
        <f t="shared" si="13"/>
        <v>1.9140483929216554</v>
      </c>
      <c r="G16" s="463">
        <f t="shared" si="14"/>
        <v>67.388949079089926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555.6</v>
      </c>
      <c r="E17" s="487">
        <f t="shared" si="15"/>
        <v>36.300000000000068</v>
      </c>
      <c r="F17" s="457">
        <f t="shared" si="13"/>
        <v>13.109425785482138</v>
      </c>
      <c r="G17" s="475">
        <f t="shared" si="14"/>
        <v>54.279523293607788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547.20000000000005</v>
      </c>
      <c r="E18" s="488">
        <f t="shared" si="15"/>
        <v>41.000000000000057</v>
      </c>
      <c r="F18" s="457">
        <f t="shared" si="13"/>
        <v>14.806789454676789</v>
      </c>
      <c r="G18" s="475">
        <f t="shared" si="14"/>
        <v>39.472733838930999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415.4</v>
      </c>
      <c r="E19" s="487">
        <f t="shared" si="15"/>
        <v>31.599999999999966</v>
      </c>
      <c r="F19" s="457">
        <f t="shared" si="13"/>
        <v>11.412062116287448</v>
      </c>
      <c r="G19" s="475">
        <f t="shared" si="14"/>
        <v>28.060671722643551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397.5</v>
      </c>
      <c r="E20" s="488">
        <f t="shared" si="15"/>
        <v>21.300000000000011</v>
      </c>
      <c r="F20" s="457">
        <f t="shared" si="13"/>
        <v>7.6923076923076916</v>
      </c>
      <c r="G20" s="475">
        <f t="shared" si="14"/>
        <v>20.368364030335862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4.9832000000000001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346</v>
      </c>
      <c r="E21" s="487">
        <f t="shared" si="15"/>
        <v>15.199999999999989</v>
      </c>
      <c r="F21" s="457">
        <f t="shared" si="13"/>
        <v>5.4893463344167488</v>
      </c>
      <c r="G21" s="475">
        <f t="shared" si="14"/>
        <v>14.879017695919114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0.1968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339.8</v>
      </c>
      <c r="E22" s="488">
        <f t="shared" si="15"/>
        <v>13.699999999999989</v>
      </c>
      <c r="F22" s="457">
        <f t="shared" si="13"/>
        <v>4.9476345250993061</v>
      </c>
      <c r="G22" s="475">
        <f t="shared" si="14"/>
        <v>9.9313831708198066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25.321138211382113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313</v>
      </c>
      <c r="E23" s="487">
        <f t="shared" si="15"/>
        <v>8.6000000000000227</v>
      </c>
      <c r="F23" s="457">
        <f t="shared" si="13"/>
        <v>3.1058143734200132</v>
      </c>
      <c r="G23" s="490">
        <f t="shared" si="14"/>
        <v>6.8255687973997929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316.3</v>
      </c>
      <c r="E24" s="488">
        <f t="shared" si="15"/>
        <v>2.6000000000000227</v>
      </c>
      <c r="F24" s="492">
        <f t="shared" si="13"/>
        <v>0.93896713615024219</v>
      </c>
      <c r="G24" s="493">
        <f t="shared" si="14"/>
        <v>5.8866016612495509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4.6274890751999987E-4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375.5</v>
      </c>
      <c r="E25" s="496">
        <f>D25-C25+(G6-C26)</f>
        <v>16.300000000000011</v>
      </c>
      <c r="F25" s="457">
        <f t="shared" si="13"/>
        <v>5.8866016612495482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269.8</v>
      </c>
      <c r="D26" s="498" t="s">
        <v>19</v>
      </c>
      <c r="E26" s="499">
        <f>SUM(E12:E25)</f>
        <v>276.9000000000002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1.1999999999998181</v>
      </c>
      <c r="F27" s="505">
        <f>IF((E27/G6*100)&gt;1,"Fehler zu groß",(E27/G6*100))</f>
        <v>0.43149946062560879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3.2931548467199995E-5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4.6274890751999987E-4</v>
      </c>
      <c r="W36" s="839">
        <v>4.7219999999999999E-4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169</v>
      </c>
      <c r="D3" s="385" t="s">
        <v>25</v>
      </c>
      <c r="E3" s="387">
        <v>40071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281.8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35.6</v>
      </c>
      <c r="E14" s="474">
        <f>D14</f>
        <v>35.6</v>
      </c>
      <c r="F14" s="457">
        <f t="shared" si="13"/>
        <v>12.70067784516589</v>
      </c>
      <c r="G14" s="475">
        <f t="shared" si="14"/>
        <v>87.299322154834115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39.700000000000003</v>
      </c>
      <c r="E15" s="462">
        <f>D15</f>
        <v>39.700000000000003</v>
      </c>
      <c r="F15" s="479">
        <f t="shared" si="13"/>
        <v>14.163396361041736</v>
      </c>
      <c r="G15" s="480">
        <f t="shared" si="14"/>
        <v>73.135925793792381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630.4</v>
      </c>
      <c r="E16" s="485">
        <f t="shared" ref="E16:E24" si="15">D16-C16</f>
        <v>0</v>
      </c>
      <c r="F16" s="457">
        <f t="shared" si="13"/>
        <v>0</v>
      </c>
      <c r="G16" s="463">
        <f t="shared" si="14"/>
        <v>73.135925793792381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542.20000000000005</v>
      </c>
      <c r="E17" s="487">
        <f t="shared" si="15"/>
        <v>22.900000000000091</v>
      </c>
      <c r="F17" s="457">
        <f t="shared" si="13"/>
        <v>8.1698180520870789</v>
      </c>
      <c r="G17" s="475">
        <f t="shared" si="14"/>
        <v>64.966107741705301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536.29999999999995</v>
      </c>
      <c r="E18" s="488">
        <f t="shared" si="15"/>
        <v>30.099999999999966</v>
      </c>
      <c r="F18" s="457">
        <f t="shared" si="13"/>
        <v>10.738494470210473</v>
      </c>
      <c r="G18" s="475">
        <f t="shared" si="14"/>
        <v>54.227613271494832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411.8</v>
      </c>
      <c r="E19" s="487">
        <f t="shared" si="15"/>
        <v>28</v>
      </c>
      <c r="F19" s="457">
        <f t="shared" si="13"/>
        <v>9.989297181591148</v>
      </c>
      <c r="G19" s="475">
        <f t="shared" si="14"/>
        <v>44.238316089903684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412.4</v>
      </c>
      <c r="E20" s="488">
        <f t="shared" si="15"/>
        <v>36.199999999999989</v>
      </c>
      <c r="F20" s="457">
        <f t="shared" si="13"/>
        <v>12.914734213342838</v>
      </c>
      <c r="G20" s="475">
        <f t="shared" si="14"/>
        <v>31.323581876560844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3.0840999999999998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359.4</v>
      </c>
      <c r="E21" s="487">
        <f t="shared" si="15"/>
        <v>28.599999999999966</v>
      </c>
      <c r="F21" s="457">
        <f t="shared" si="13"/>
        <v>10.203353549768089</v>
      </c>
      <c r="G21" s="475">
        <f t="shared" si="14"/>
        <v>21.120228326792756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0.1119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342.6</v>
      </c>
      <c r="E22" s="488">
        <f t="shared" si="15"/>
        <v>16.5</v>
      </c>
      <c r="F22" s="457">
        <f t="shared" si="13"/>
        <v>5.8865501248662122</v>
      </c>
      <c r="G22" s="475">
        <f t="shared" si="14"/>
        <v>15.233678201926544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27.561215370866844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321</v>
      </c>
      <c r="E23" s="487">
        <f t="shared" si="15"/>
        <v>16.600000000000023</v>
      </c>
      <c r="F23" s="457">
        <f t="shared" si="13"/>
        <v>5.9222261862290457</v>
      </c>
      <c r="G23" s="490">
        <f t="shared" si="14"/>
        <v>9.3114520156974976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320.8</v>
      </c>
      <c r="E24" s="488">
        <f t="shared" si="15"/>
        <v>7.1000000000000227</v>
      </c>
      <c r="F24" s="492">
        <f t="shared" si="13"/>
        <v>2.5330003567606205</v>
      </c>
      <c r="G24" s="493">
        <f t="shared" si="14"/>
        <v>6.7784516589368771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1.4960819627999995E-4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375.6</v>
      </c>
      <c r="E25" s="496">
        <f>D25-C25+(G6-C26)</f>
        <v>19.000000000000057</v>
      </c>
      <c r="F25" s="457">
        <f t="shared" si="13"/>
        <v>6.7784516589368708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270.89999999999998</v>
      </c>
      <c r="D26" s="498" t="s">
        <v>19</v>
      </c>
      <c r="E26" s="499">
        <f>SUM(E12:E25)</f>
        <v>280.30000000000013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1.4999999999998863</v>
      </c>
      <c r="F27" s="505">
        <f>IF((E27/G6*100)&gt;1,"Fehler zu groß",(E27/G6*100))</f>
        <v>0.53229240596163452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1.06468745508E-5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1.4960819627999995E-4</v>
      </c>
      <c r="W36" s="839">
        <v>2.675E-4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7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170</v>
      </c>
      <c r="D3" s="385" t="s">
        <v>25</v>
      </c>
      <c r="E3" s="387">
        <v>40071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356.8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31.9</v>
      </c>
      <c r="E14" s="474">
        <f>D14</f>
        <v>31.9</v>
      </c>
      <c r="F14" s="457">
        <f t="shared" si="13"/>
        <v>8.9783281733746119</v>
      </c>
      <c r="G14" s="475">
        <f t="shared" si="14"/>
        <v>91.021671826625393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82.9</v>
      </c>
      <c r="E15" s="462">
        <f>D15</f>
        <v>82.9</v>
      </c>
      <c r="F15" s="479">
        <f t="shared" si="13"/>
        <v>23.332395159020546</v>
      </c>
      <c r="G15" s="480">
        <f t="shared" si="14"/>
        <v>67.689276667604844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645.29999999999995</v>
      </c>
      <c r="E16" s="485">
        <f t="shared" ref="E16:E24" si="15">D16-C16</f>
        <v>14.899999999999977</v>
      </c>
      <c r="F16" s="457">
        <f t="shared" si="13"/>
        <v>4.1936391781592954</v>
      </c>
      <c r="G16" s="463">
        <f t="shared" si="14"/>
        <v>63.495637489445549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550.29999999999995</v>
      </c>
      <c r="E17" s="487">
        <f t="shared" si="15"/>
        <v>31</v>
      </c>
      <c r="F17" s="457">
        <f t="shared" si="13"/>
        <v>8.7250211089220375</v>
      </c>
      <c r="G17" s="475">
        <f t="shared" si="14"/>
        <v>54.770616380523514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534.1</v>
      </c>
      <c r="E18" s="488">
        <f t="shared" si="15"/>
        <v>27.900000000000034</v>
      </c>
      <c r="F18" s="457">
        <f t="shared" si="13"/>
        <v>7.8525189980298435</v>
      </c>
      <c r="G18" s="475">
        <f t="shared" si="14"/>
        <v>46.91809738249367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408.5</v>
      </c>
      <c r="E19" s="487">
        <f t="shared" si="15"/>
        <v>24.699999999999989</v>
      </c>
      <c r="F19" s="457">
        <f t="shared" si="13"/>
        <v>6.9518716577540083</v>
      </c>
      <c r="G19" s="475">
        <f t="shared" si="14"/>
        <v>39.966225724739658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419.1</v>
      </c>
      <c r="E20" s="488">
        <f t="shared" si="15"/>
        <v>42.900000000000034</v>
      </c>
      <c r="F20" s="457">
        <f t="shared" si="13"/>
        <v>12.074303405572765</v>
      </c>
      <c r="G20" s="475">
        <f t="shared" si="14"/>
        <v>27.891922319166895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5.3746999999999998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352.6</v>
      </c>
      <c r="E21" s="487">
        <f t="shared" si="15"/>
        <v>21.800000000000011</v>
      </c>
      <c r="F21" s="457">
        <f t="shared" si="13"/>
        <v>6.1356600056290489</v>
      </c>
      <c r="G21" s="475">
        <f t="shared" si="14"/>
        <v>21.756262313537846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6.5500000000000003E-2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342</v>
      </c>
      <c r="E22" s="488">
        <f t="shared" si="15"/>
        <v>15.899999999999977</v>
      </c>
      <c r="F22" s="457">
        <f t="shared" si="13"/>
        <v>4.4750914719954906</v>
      </c>
      <c r="G22" s="475">
        <f t="shared" si="14"/>
        <v>17.281170841542355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82.056488549618308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319.89999999999998</v>
      </c>
      <c r="E23" s="487">
        <f t="shared" si="15"/>
        <v>15.5</v>
      </c>
      <c r="F23" s="457">
        <f t="shared" si="13"/>
        <v>4.3625105544610188</v>
      </c>
      <c r="G23" s="490">
        <f t="shared" si="14"/>
        <v>12.918660287081337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324.39999999999998</v>
      </c>
      <c r="E24" s="488">
        <f t="shared" si="15"/>
        <v>10.699999999999989</v>
      </c>
      <c r="F24" s="492">
        <f t="shared" si="13"/>
        <v>3.0115395440472805</v>
      </c>
      <c r="G24" s="493">
        <f t="shared" si="14"/>
        <v>9.9071207430340564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5.1259906999999999E-5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384</v>
      </c>
      <c r="E25" s="496">
        <f>D25-C25+(G6-C26)</f>
        <v>35.199999999999989</v>
      </c>
      <c r="F25" s="457">
        <f t="shared" si="13"/>
        <v>9.9071207430340529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338.1</v>
      </c>
      <c r="D26" s="498" t="s">
        <v>19</v>
      </c>
      <c r="E26" s="499">
        <f>SUM(E12:E25)</f>
        <v>355.3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1.5</v>
      </c>
      <c r="F27" s="505">
        <f>IF((E27/G6*100)&gt;1,"Fehler zu groß",(E27/G6*100))</f>
        <v>0.42040358744394618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3.6479137700000009E-6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5.1259906999999999E-5</v>
      </c>
      <c r="W36" s="839">
        <v>1.9139999999999999E-4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Q4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171</v>
      </c>
      <c r="D3" s="385" t="s">
        <v>25</v>
      </c>
      <c r="E3" s="387">
        <v>40073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165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163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285.7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20.6</v>
      </c>
      <c r="E14" s="474">
        <f>D14</f>
        <v>20.6</v>
      </c>
      <c r="F14" s="457">
        <f t="shared" si="13"/>
        <v>7.2331460674157286</v>
      </c>
      <c r="G14" s="475">
        <f t="shared" si="14"/>
        <v>92.766853932584269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33.200000000000003</v>
      </c>
      <c r="E15" s="462">
        <f>D15</f>
        <v>33.200000000000003</v>
      </c>
      <c r="F15" s="479">
        <f t="shared" si="13"/>
        <v>11.657303370786515</v>
      </c>
      <c r="G15" s="480">
        <f t="shared" si="14"/>
        <v>81.109550561797761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642.70000000000005</v>
      </c>
      <c r="E16" s="485">
        <f t="shared" ref="E16:E24" si="15">D16-C16</f>
        <v>12.300000000000068</v>
      </c>
      <c r="F16" s="457">
        <f t="shared" si="13"/>
        <v>4.3188202247191239</v>
      </c>
      <c r="G16" s="463">
        <f t="shared" si="14"/>
        <v>76.790730337078642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547.79999999999995</v>
      </c>
      <c r="E17" s="487">
        <f t="shared" si="15"/>
        <v>28.5</v>
      </c>
      <c r="F17" s="457">
        <f t="shared" si="13"/>
        <v>10.00702247191011</v>
      </c>
      <c r="G17" s="475">
        <f t="shared" si="14"/>
        <v>66.783707865168537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541.5</v>
      </c>
      <c r="E18" s="488">
        <f t="shared" si="15"/>
        <v>35.300000000000011</v>
      </c>
      <c r="F18" s="457">
        <f t="shared" si="13"/>
        <v>12.394662921348315</v>
      </c>
      <c r="G18" s="475">
        <f t="shared" si="14"/>
        <v>54.389044943820224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418.1</v>
      </c>
      <c r="E19" s="487">
        <f t="shared" si="15"/>
        <v>34.300000000000011</v>
      </c>
      <c r="F19" s="457">
        <f t="shared" si="13"/>
        <v>12.043539325842698</v>
      </c>
      <c r="G19" s="475">
        <f t="shared" si="14"/>
        <v>42.345505617977523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423.1</v>
      </c>
      <c r="E20" s="488">
        <f t="shared" si="15"/>
        <v>46.900000000000034</v>
      </c>
      <c r="F20" s="457">
        <f t="shared" si="13"/>
        <v>16.467696629213492</v>
      </c>
      <c r="G20" s="475">
        <f t="shared" si="14"/>
        <v>25.877808988764031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2.9032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355.5</v>
      </c>
      <c r="E21" s="487">
        <f t="shared" si="15"/>
        <v>24.699999999999989</v>
      </c>
      <c r="F21" s="457">
        <f t="shared" si="13"/>
        <v>8.6727528089887578</v>
      </c>
      <c r="G21" s="475">
        <f t="shared" si="14"/>
        <v>17.205056179775273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0.14099999999999999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340</v>
      </c>
      <c r="E22" s="488">
        <f t="shared" si="15"/>
        <v>13.899999999999977</v>
      </c>
      <c r="F22" s="457">
        <f t="shared" si="13"/>
        <v>4.8806179775280807</v>
      </c>
      <c r="G22" s="475">
        <f t="shared" si="14"/>
        <v>12.324438202247192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20.590070921985816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315.5</v>
      </c>
      <c r="E23" s="487">
        <f t="shared" si="15"/>
        <v>11.100000000000023</v>
      </c>
      <c r="F23" s="457">
        <f t="shared" si="13"/>
        <v>3.8974719101123663</v>
      </c>
      <c r="G23" s="490">
        <f t="shared" si="14"/>
        <v>8.426966292134825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316.39999999999998</v>
      </c>
      <c r="E24" s="488">
        <f t="shared" si="15"/>
        <v>2.6999999999999886</v>
      </c>
      <c r="F24" s="492">
        <f t="shared" si="13"/>
        <v>0.94803370786516428</v>
      </c>
      <c r="G24" s="493">
        <f t="shared" si="14"/>
        <v>7.4789325842696606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2.3753818799999987E-4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376.2</v>
      </c>
      <c r="E25" s="496">
        <f>D25-C25+(G6-C26)</f>
        <v>21.299999999999955</v>
      </c>
      <c r="F25" s="457">
        <f t="shared" si="13"/>
        <v>7.4789325842696455</v>
      </c>
      <c r="G25" s="463">
        <f t="shared" si="14"/>
        <v>1.5099033134902129E-14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273.10000000000002</v>
      </c>
      <c r="D26" s="498" t="s">
        <v>19</v>
      </c>
      <c r="E26" s="499">
        <f>SUM(E12:E25)</f>
        <v>284.80000000000007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0.89999999999992042</v>
      </c>
      <c r="F27" s="505">
        <f>IF((E27/G6*100)&gt;1,"Fehler zu groß",(E27/G6*100))</f>
        <v>0.31501575078751154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1.6904416679999996E-5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2.3753818799999987E-4</v>
      </c>
      <c r="W36" s="839">
        <v>2.9710000000000001E-4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J1" zoomScale="85" zoomScaleNormal="85" workbookViewId="0">
      <selection activeCell="V15" sqref="V15:Z36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172</v>
      </c>
      <c r="D3" s="385" t="s">
        <v>25</v>
      </c>
      <c r="E3" s="387">
        <v>40074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231.3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14.3</v>
      </c>
      <c r="E14" s="474">
        <f>D14</f>
        <v>14.3</v>
      </c>
      <c r="F14" s="457">
        <f t="shared" si="13"/>
        <v>6.2200956937799035</v>
      </c>
      <c r="G14" s="475">
        <f t="shared" si="14"/>
        <v>93.779904306220089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20.399999999999999</v>
      </c>
      <c r="E15" s="462">
        <f>D15</f>
        <v>20.399999999999999</v>
      </c>
      <c r="F15" s="479">
        <f t="shared" si="13"/>
        <v>8.8734232274902105</v>
      </c>
      <c r="G15" s="480">
        <f t="shared" si="14"/>
        <v>84.906481078729882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640.79999999999995</v>
      </c>
      <c r="E16" s="485">
        <f t="shared" ref="E16:E24" si="15">D16-C16</f>
        <v>10.399999999999977</v>
      </c>
      <c r="F16" s="457">
        <f t="shared" si="13"/>
        <v>4.5237059591126467</v>
      </c>
      <c r="G16" s="463">
        <f t="shared" si="14"/>
        <v>80.382775119617236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531.79999999999995</v>
      </c>
      <c r="E17" s="487">
        <f t="shared" si="15"/>
        <v>12.5</v>
      </c>
      <c r="F17" s="457">
        <f t="shared" si="13"/>
        <v>5.4371465854719432</v>
      </c>
      <c r="G17" s="475">
        <f t="shared" si="14"/>
        <v>74.9456285341453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531.9</v>
      </c>
      <c r="E18" s="488">
        <f t="shared" si="15"/>
        <v>25.699999999999989</v>
      </c>
      <c r="F18" s="457">
        <f t="shared" si="13"/>
        <v>11.178773379730311</v>
      </c>
      <c r="G18" s="475">
        <f t="shared" si="14"/>
        <v>63.766855154414991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412.3</v>
      </c>
      <c r="E19" s="487">
        <f t="shared" si="15"/>
        <v>28.5</v>
      </c>
      <c r="F19" s="457">
        <f t="shared" si="13"/>
        <v>12.39669421487603</v>
      </c>
      <c r="G19" s="475">
        <f t="shared" si="14"/>
        <v>51.370160939538962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396.9</v>
      </c>
      <c r="E20" s="488">
        <f t="shared" si="15"/>
        <v>20.699999999999989</v>
      </c>
      <c r="F20" s="457">
        <f t="shared" si="13"/>
        <v>9.0039147455415325</v>
      </c>
      <c r="G20" s="475">
        <f t="shared" si="14"/>
        <v>42.366246193997426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346.1</v>
      </c>
      <c r="E21" s="487">
        <f t="shared" si="15"/>
        <v>15.300000000000011</v>
      </c>
      <c r="F21" s="457">
        <f t="shared" si="13"/>
        <v>6.6550674206176632</v>
      </c>
      <c r="G21" s="475">
        <f t="shared" si="14"/>
        <v>35.711178773379764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0.13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352.2</v>
      </c>
      <c r="E22" s="488">
        <f t="shared" si="15"/>
        <v>26.099999999999966</v>
      </c>
      <c r="F22" s="457">
        <f t="shared" si="13"/>
        <v>11.352762070465404</v>
      </c>
      <c r="G22" s="475">
        <f t="shared" si="14"/>
        <v>24.358416702914361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33.076923076923073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316.10000000000002</v>
      </c>
      <c r="E23" s="487">
        <f t="shared" si="15"/>
        <v>11.700000000000045</v>
      </c>
      <c r="F23" s="457">
        <f t="shared" si="13"/>
        <v>5.0891692040017587</v>
      </c>
      <c r="G23" s="490">
        <f t="shared" si="14"/>
        <v>19.269247498912602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321.3</v>
      </c>
      <c r="E24" s="488">
        <f t="shared" si="15"/>
        <v>7.6000000000000227</v>
      </c>
      <c r="F24" s="492">
        <f t="shared" si="13"/>
        <v>3.3057851239669511</v>
      </c>
      <c r="G24" s="493">
        <f t="shared" si="14"/>
        <v>15.963462374945651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2.0192119999999997E-4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378.6</v>
      </c>
      <c r="E25" s="496">
        <f>D25-C25+(G6-C26)</f>
        <v>36.700000000000045</v>
      </c>
      <c r="F25" s="457">
        <f t="shared" si="13"/>
        <v>15.963462374945648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205.7</v>
      </c>
      <c r="D26" s="498" t="s">
        <v>19</v>
      </c>
      <c r="E26" s="499">
        <f>SUM(E12:E25)</f>
        <v>229.90000000000003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1.3999999999999773</v>
      </c>
      <c r="F27" s="505">
        <f>IF((E27/G6*100)&gt;1,"Fehler zu groß",(E27/G6*100))</f>
        <v>0.60527453523561481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1.4369732E-5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>
        <v>4.2999999999999999E-4</v>
      </c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(W24+W29)/2</f>
        <v>3.1596059999999999E-4</v>
      </c>
      <c r="W36" s="839">
        <v>3.0039999999999998E-4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Q4" zoomScale="85" zoomScaleNormal="85" workbookViewId="0">
      <selection activeCell="V37" sqref="V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173</v>
      </c>
      <c r="D3" s="385" t="s">
        <v>25</v>
      </c>
      <c r="E3" s="387">
        <v>40074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330.3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65.7</v>
      </c>
      <c r="E13" s="474">
        <f>D13</f>
        <v>65.7</v>
      </c>
      <c r="F13" s="457">
        <f t="shared" si="13"/>
        <v>19.927206551410361</v>
      </c>
      <c r="G13" s="475">
        <f t="shared" si="14"/>
        <v>80.072793448589636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46.6</v>
      </c>
      <c r="E14" s="474">
        <f>D14</f>
        <v>46.6</v>
      </c>
      <c r="F14" s="457">
        <f t="shared" si="13"/>
        <v>14.13406126781922</v>
      </c>
      <c r="G14" s="475">
        <f t="shared" si="14"/>
        <v>65.938732180770415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31.4</v>
      </c>
      <c r="E15" s="462">
        <f>D15</f>
        <v>31.4</v>
      </c>
      <c r="F15" s="479">
        <f t="shared" si="13"/>
        <v>9.5238095238095184</v>
      </c>
      <c r="G15" s="480">
        <f t="shared" si="14"/>
        <v>56.414922656960897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639.1</v>
      </c>
      <c r="E16" s="485">
        <f t="shared" ref="E16:E24" si="15">D16-C16</f>
        <v>8.7000000000000455</v>
      </c>
      <c r="F16" s="457">
        <f t="shared" si="13"/>
        <v>2.6387625113739883</v>
      </c>
      <c r="G16" s="463">
        <f t="shared" si="14"/>
        <v>53.776160145586907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548.6</v>
      </c>
      <c r="E17" s="487">
        <f t="shared" si="15"/>
        <v>29.300000000000068</v>
      </c>
      <c r="F17" s="457">
        <f t="shared" si="13"/>
        <v>8.8868668486503033</v>
      </c>
      <c r="G17" s="475">
        <f t="shared" si="14"/>
        <v>44.8892932969366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546.1</v>
      </c>
      <c r="E18" s="488">
        <f t="shared" si="15"/>
        <v>39.900000000000034</v>
      </c>
      <c r="F18" s="457">
        <f t="shared" si="13"/>
        <v>12.101910828025481</v>
      </c>
      <c r="G18" s="475">
        <f t="shared" si="14"/>
        <v>32.787382468911119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412</v>
      </c>
      <c r="E19" s="487">
        <f t="shared" si="15"/>
        <v>28.199999999999989</v>
      </c>
      <c r="F19" s="457">
        <f t="shared" si="13"/>
        <v>8.5532302092811552</v>
      </c>
      <c r="G19" s="475">
        <f t="shared" si="14"/>
        <v>24.234152259629965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393.8</v>
      </c>
      <c r="E20" s="488">
        <f t="shared" si="15"/>
        <v>17.600000000000023</v>
      </c>
      <c r="F20" s="457">
        <f t="shared" si="13"/>
        <v>5.338186229905979</v>
      </c>
      <c r="G20" s="475">
        <f t="shared" si="14"/>
        <v>18.895966029723986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13.684200000000001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344.6</v>
      </c>
      <c r="E21" s="487">
        <f t="shared" si="15"/>
        <v>13.800000000000011</v>
      </c>
      <c r="F21" s="457">
        <f t="shared" si="13"/>
        <v>4.1856232939035491</v>
      </c>
      <c r="G21" s="475">
        <f t="shared" si="14"/>
        <v>14.710342735820436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0.18240000000000001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340.8</v>
      </c>
      <c r="E22" s="488">
        <f t="shared" si="15"/>
        <v>14.699999999999989</v>
      </c>
      <c r="F22" s="457">
        <f t="shared" si="13"/>
        <v>4.4585987261146434</v>
      </c>
      <c r="G22" s="475">
        <f t="shared" si="14"/>
        <v>10.251744009705792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75.02302631578948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309.89999999999998</v>
      </c>
      <c r="E23" s="487">
        <f t="shared" si="15"/>
        <v>5.5</v>
      </c>
      <c r="F23" s="457">
        <f t="shared" si="13"/>
        <v>1.668183196845616</v>
      </c>
      <c r="G23" s="490">
        <f t="shared" si="14"/>
        <v>8.5835608128601759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320.7</v>
      </c>
      <c r="E24" s="488">
        <f t="shared" si="15"/>
        <v>7</v>
      </c>
      <c r="F24" s="492">
        <f t="shared" si="13"/>
        <v>2.1231422505307842</v>
      </c>
      <c r="G24" s="493">
        <f t="shared" si="14"/>
        <v>6.4604185623293917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3.9750709247999991E-4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377.4</v>
      </c>
      <c r="E25" s="496">
        <f>D25-C25+(G6-C26)</f>
        <v>21.300000000000011</v>
      </c>
      <c r="F25" s="457">
        <f t="shared" si="13"/>
        <v>6.4604185623293899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318.89999999999998</v>
      </c>
      <c r="D26" s="498" t="s">
        <v>19</v>
      </c>
      <c r="E26" s="499">
        <f>SUM(E12:E25)</f>
        <v>329.70000000000022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0.59999999999979536</v>
      </c>
      <c r="F27" s="505">
        <f>IF((E27/G6*100)&gt;1,"Fehler zu groß",(E27/G6*100))</f>
        <v>0.18165304268840307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2.8288611532799999E-5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>
        <f>(W24)</f>
        <v>3.9750709247999991E-4</v>
      </c>
      <c r="W36" s="839">
        <v>4.3629999999999998E-4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174</v>
      </c>
      <c r="D3" s="385" t="s">
        <v>25</v>
      </c>
      <c r="E3" s="387">
        <v>40074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321.3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45.9</v>
      </c>
      <c r="E13" s="474">
        <f>D13</f>
        <v>45.9</v>
      </c>
      <c r="F13" s="457">
        <f t="shared" si="13"/>
        <v>14.334790755777634</v>
      </c>
      <c r="G13" s="475">
        <f t="shared" si="14"/>
        <v>85.665209244222368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10.8</v>
      </c>
      <c r="E14" s="474">
        <f>D14</f>
        <v>10.8</v>
      </c>
      <c r="F14" s="457">
        <f t="shared" si="13"/>
        <v>3.3728919425359138</v>
      </c>
      <c r="G14" s="475">
        <f t="shared" si="14"/>
        <v>82.292317301686452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30</v>
      </c>
      <c r="E15" s="462">
        <f>D15</f>
        <v>30</v>
      </c>
      <c r="F15" s="479">
        <f t="shared" si="13"/>
        <v>9.3691442848219832</v>
      </c>
      <c r="G15" s="480">
        <f t="shared" si="14"/>
        <v>72.923173016864467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637.5</v>
      </c>
      <c r="E16" s="485">
        <f t="shared" ref="E16:E24" si="15">D16-C16</f>
        <v>7.1000000000000227</v>
      </c>
      <c r="F16" s="457">
        <f t="shared" si="13"/>
        <v>2.2173641474078765</v>
      </c>
      <c r="G16" s="463">
        <f t="shared" si="14"/>
        <v>70.70580886945659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553.4</v>
      </c>
      <c r="E17" s="487">
        <f t="shared" si="15"/>
        <v>34.100000000000023</v>
      </c>
      <c r="F17" s="457">
        <f t="shared" si="13"/>
        <v>10.649594003747662</v>
      </c>
      <c r="G17" s="475">
        <f t="shared" si="14"/>
        <v>60.056214865708924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545.70000000000005</v>
      </c>
      <c r="E18" s="488">
        <f t="shared" si="15"/>
        <v>39.500000000000057</v>
      </c>
      <c r="F18" s="457">
        <f t="shared" si="13"/>
        <v>12.336039975015629</v>
      </c>
      <c r="G18" s="475">
        <f t="shared" si="14"/>
        <v>47.720174890693293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422.3</v>
      </c>
      <c r="E19" s="487">
        <f t="shared" si="15"/>
        <v>38.5</v>
      </c>
      <c r="F19" s="457">
        <f t="shared" si="13"/>
        <v>12.023735165521545</v>
      </c>
      <c r="G19" s="475">
        <f t="shared" si="14"/>
        <v>35.69643972517175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404.4</v>
      </c>
      <c r="E20" s="488">
        <f t="shared" si="15"/>
        <v>28.199999999999989</v>
      </c>
      <c r="F20" s="457">
        <f t="shared" si="13"/>
        <v>8.8069956277326611</v>
      </c>
      <c r="G20" s="475">
        <f t="shared" si="14"/>
        <v>26.889444097439089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3.9836999999999998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353</v>
      </c>
      <c r="E21" s="487">
        <f t="shared" si="15"/>
        <v>22.199999999999989</v>
      </c>
      <c r="F21" s="457">
        <f t="shared" si="13"/>
        <v>6.9331667707682634</v>
      </c>
      <c r="G21" s="475">
        <f t="shared" si="14"/>
        <v>19.956277326670826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0.15709999999999999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351.8</v>
      </c>
      <c r="E22" s="488">
        <f t="shared" si="15"/>
        <v>25.699999999999989</v>
      </c>
      <c r="F22" s="457">
        <f t="shared" si="13"/>
        <v>8.0262336039974951</v>
      </c>
      <c r="G22" s="475">
        <f t="shared" si="14"/>
        <v>11.93004372267333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25.357733927434754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320</v>
      </c>
      <c r="E23" s="487">
        <f t="shared" si="15"/>
        <v>15.600000000000023</v>
      </c>
      <c r="F23" s="457">
        <f t="shared" si="13"/>
        <v>4.8719550281074389</v>
      </c>
      <c r="G23" s="490">
        <f t="shared" si="14"/>
        <v>7.0580886945658916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316.2</v>
      </c>
      <c r="E24" s="488">
        <f t="shared" si="15"/>
        <v>2.5</v>
      </c>
      <c r="F24" s="492">
        <f t="shared" si="13"/>
        <v>0.78076202373516523</v>
      </c>
      <c r="G24" s="493">
        <f t="shared" si="14"/>
        <v>6.2773266708307265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2.948815386799999E-4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378.1</v>
      </c>
      <c r="E25" s="496">
        <f>D25-C25+(G6-C26)</f>
        <v>20.100000000000023</v>
      </c>
      <c r="F25" s="457">
        <f t="shared" si="13"/>
        <v>6.2773266708307363</v>
      </c>
      <c r="G25" s="463">
        <f t="shared" si="14"/>
        <v>-9.7699626167013776E-15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311.8</v>
      </c>
      <c r="D26" s="498" t="s">
        <v>19</v>
      </c>
      <c r="E26" s="499">
        <f>SUM(E12:E25)</f>
        <v>320.2000000000001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1.0999999999999091</v>
      </c>
      <c r="F27" s="505">
        <f>IF((E27/G6*100)&gt;1,"Fehler zu groß",(E27/G6*100))</f>
        <v>0.34235916588854931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2.0985259014799995E-5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3.59E-4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175</v>
      </c>
      <c r="D3" s="385" t="s">
        <v>25</v>
      </c>
      <c r="E3" s="387">
        <v>40074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319.10000000000002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38.700000000000003</v>
      </c>
      <c r="E13" s="474">
        <f>D13</f>
        <v>38.700000000000003</v>
      </c>
      <c r="F13" s="457">
        <f t="shared" si="13"/>
        <v>12.146892655367223</v>
      </c>
      <c r="G13" s="475">
        <f t="shared" si="14"/>
        <v>87.853107344632775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46.6</v>
      </c>
      <c r="E14" s="474">
        <f>D14</f>
        <v>46.6</v>
      </c>
      <c r="F14" s="457">
        <f t="shared" si="13"/>
        <v>14.626490897677327</v>
      </c>
      <c r="G14" s="475">
        <f t="shared" si="14"/>
        <v>73.226616446955447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29.7</v>
      </c>
      <c r="E15" s="462">
        <f>D15</f>
        <v>29.7</v>
      </c>
      <c r="F15" s="479">
        <f t="shared" si="13"/>
        <v>9.3220338983050759</v>
      </c>
      <c r="G15" s="480">
        <f t="shared" si="14"/>
        <v>63.904582548650367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639.20000000000005</v>
      </c>
      <c r="E16" s="485">
        <f t="shared" ref="E16:E24" si="15">D16-C16</f>
        <v>8.8000000000000682</v>
      </c>
      <c r="F16" s="457">
        <f t="shared" si="13"/>
        <v>2.7620841180163405</v>
      </c>
      <c r="G16" s="463">
        <f t="shared" si="14"/>
        <v>61.142498430634028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544.6</v>
      </c>
      <c r="E17" s="487">
        <f t="shared" si="15"/>
        <v>25.300000000000068</v>
      </c>
      <c r="F17" s="457">
        <f t="shared" si="13"/>
        <v>7.940991839296939</v>
      </c>
      <c r="G17" s="475">
        <f t="shared" si="14"/>
        <v>53.201506591337086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537.5</v>
      </c>
      <c r="E18" s="488">
        <f t="shared" si="15"/>
        <v>31.300000000000011</v>
      </c>
      <c r="F18" s="457">
        <f t="shared" si="13"/>
        <v>9.824231010671685</v>
      </c>
      <c r="G18" s="475">
        <f t="shared" si="14"/>
        <v>43.377275580665398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421.3</v>
      </c>
      <c r="E19" s="487">
        <f t="shared" si="15"/>
        <v>37.5</v>
      </c>
      <c r="F19" s="457">
        <f t="shared" si="13"/>
        <v>11.77024482109227</v>
      </c>
      <c r="G19" s="475">
        <f t="shared" si="14"/>
        <v>31.607030759573128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414.3</v>
      </c>
      <c r="E20" s="488">
        <f t="shared" si="15"/>
        <v>38.100000000000023</v>
      </c>
      <c r="F20" s="457">
        <f t="shared" si="13"/>
        <v>11.958568738229753</v>
      </c>
      <c r="G20" s="475">
        <f t="shared" si="14"/>
        <v>19.648462021343377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5.9505999999999997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352.2</v>
      </c>
      <c r="E21" s="487">
        <f t="shared" si="15"/>
        <v>21.399999999999977</v>
      </c>
      <c r="F21" s="457">
        <f t="shared" si="13"/>
        <v>6.7168863779033154</v>
      </c>
      <c r="G21" s="475">
        <f t="shared" si="14"/>
        <v>12.931575643440063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0.27500000000000002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341.5</v>
      </c>
      <c r="E22" s="488">
        <f t="shared" si="15"/>
        <v>15.399999999999977</v>
      </c>
      <c r="F22" s="457">
        <f t="shared" si="13"/>
        <v>4.8336472065285516</v>
      </c>
      <c r="G22" s="475">
        <f t="shared" si="14"/>
        <v>8.097928436911511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21.638545454545451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312.10000000000002</v>
      </c>
      <c r="E23" s="487">
        <f t="shared" si="15"/>
        <v>7.7000000000000455</v>
      </c>
      <c r="F23" s="457">
        <f t="shared" si="13"/>
        <v>2.4168236032642936</v>
      </c>
      <c r="G23" s="490">
        <f t="shared" si="14"/>
        <v>5.6811048336472174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318.5</v>
      </c>
      <c r="E24" s="488">
        <f t="shared" si="15"/>
        <v>4.8000000000000114</v>
      </c>
      <c r="F24" s="492">
        <f t="shared" si="13"/>
        <v>1.5065913370998141</v>
      </c>
      <c r="G24" s="493">
        <f t="shared" si="14"/>
        <v>4.1745134965474033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9.0356749999999993E-4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373.1</v>
      </c>
      <c r="E25" s="496">
        <f>D25-C25+(G6-C26)</f>
        <v>13.300000000000068</v>
      </c>
      <c r="F25" s="457">
        <f t="shared" si="13"/>
        <v>4.1745134965474131</v>
      </c>
      <c r="G25" s="463">
        <f t="shared" si="14"/>
        <v>-9.7699626167013776E-15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311.39999999999998</v>
      </c>
      <c r="D26" s="498" t="s">
        <v>19</v>
      </c>
      <c r="E26" s="499">
        <f>SUM(E12:E25)</f>
        <v>318.60000000000025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0.49999999999977263</v>
      </c>
      <c r="F27" s="505">
        <f>IF((E27/G6*100)&gt;1,"Fehler zu groß",(E27/G6*100))</f>
        <v>0.15669069257278992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6.4302425000000018E-5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6.5050000000000004E-4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176</v>
      </c>
      <c r="D3" s="385" t="s">
        <v>25</v>
      </c>
      <c r="E3" s="387">
        <v>40081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350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353.5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29.3</v>
      </c>
      <c r="E13" s="474">
        <f>D13</f>
        <v>29.3</v>
      </c>
      <c r="F13" s="457">
        <f t="shared" si="13"/>
        <v>8.3096993760635254</v>
      </c>
      <c r="G13" s="475">
        <f t="shared" si="14"/>
        <v>91.69030062393648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91.69030062393648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55.3</v>
      </c>
      <c r="E15" s="462">
        <f>D15</f>
        <v>55.3</v>
      </c>
      <c r="F15" s="479">
        <f t="shared" si="13"/>
        <v>15.68349404424276</v>
      </c>
      <c r="G15" s="480">
        <f t="shared" si="14"/>
        <v>76.006806579693716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640.29999999999995</v>
      </c>
      <c r="E16" s="485">
        <f t="shared" ref="E16:E24" si="15">D16-C16</f>
        <v>9.8999999999999773</v>
      </c>
      <c r="F16" s="457">
        <f t="shared" si="13"/>
        <v>2.8077141236528567</v>
      </c>
      <c r="G16" s="463">
        <f t="shared" si="14"/>
        <v>73.199092456040859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546</v>
      </c>
      <c r="E17" s="487">
        <f t="shared" si="15"/>
        <v>26.700000000000045</v>
      </c>
      <c r="F17" s="457">
        <f t="shared" si="13"/>
        <v>7.5723199092456142</v>
      </c>
      <c r="G17" s="475">
        <f t="shared" si="14"/>
        <v>65.626772546795252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545.6</v>
      </c>
      <c r="E18" s="488">
        <f t="shared" si="15"/>
        <v>39.400000000000034</v>
      </c>
      <c r="F18" s="457">
        <f t="shared" si="13"/>
        <v>11.174134997163931</v>
      </c>
      <c r="G18" s="475">
        <f t="shared" si="14"/>
        <v>54.452637549631319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430.9</v>
      </c>
      <c r="E19" s="487">
        <f t="shared" si="15"/>
        <v>47.099999999999966</v>
      </c>
      <c r="F19" s="457">
        <f t="shared" si="13"/>
        <v>13.357912648893915</v>
      </c>
      <c r="G19" s="475">
        <f t="shared" si="14"/>
        <v>41.094724900737404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431.8</v>
      </c>
      <c r="E20" s="488">
        <f t="shared" si="15"/>
        <v>55.600000000000023</v>
      </c>
      <c r="F20" s="457">
        <f t="shared" si="13"/>
        <v>15.768576290414069</v>
      </c>
      <c r="G20" s="475">
        <f t="shared" si="14"/>
        <v>25.326148610323337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366.1</v>
      </c>
      <c r="E21" s="487">
        <f t="shared" si="15"/>
        <v>35.300000000000011</v>
      </c>
      <c r="F21" s="457">
        <f t="shared" si="13"/>
        <v>10.011344299489505</v>
      </c>
      <c r="G21" s="475">
        <f t="shared" si="14"/>
        <v>15.314804310833832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344.6</v>
      </c>
      <c r="E22" s="488">
        <f t="shared" si="15"/>
        <v>18.5</v>
      </c>
      <c r="F22" s="457">
        <f t="shared" si="13"/>
        <v>5.2467385138967648</v>
      </c>
      <c r="G22" s="475">
        <f t="shared" si="14"/>
        <v>10.068065796937066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315.60000000000002</v>
      </c>
      <c r="E23" s="487">
        <f t="shared" si="15"/>
        <v>11.200000000000045</v>
      </c>
      <c r="F23" s="457">
        <f t="shared" si="13"/>
        <v>3.176403857061838</v>
      </c>
      <c r="G23" s="490">
        <f t="shared" si="14"/>
        <v>6.8916619398752283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318.7</v>
      </c>
      <c r="E24" s="488">
        <f t="shared" si="15"/>
        <v>5</v>
      </c>
      <c r="F24" s="492">
        <f t="shared" si="13"/>
        <v>1.4180374361883148</v>
      </c>
      <c r="G24" s="493">
        <f t="shared" si="14"/>
        <v>5.4736245036869136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4.7791999999999995E-4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373.8</v>
      </c>
      <c r="E25" s="496">
        <f>D25-C25+(G6-C26)</f>
        <v>19.300000000000011</v>
      </c>
      <c r="F25" s="457">
        <f t="shared" si="13"/>
        <v>5.4736245036868985</v>
      </c>
      <c r="G25" s="463">
        <f t="shared" si="14"/>
        <v>1.5099033134902129E-14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340.5</v>
      </c>
      <c r="D26" s="498" t="s">
        <v>19</v>
      </c>
      <c r="E26" s="499">
        <f>SUM(E12:E25)</f>
        <v>352.60000000000014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0.89999999999986358</v>
      </c>
      <c r="F27" s="505">
        <f>IF((E27/G6*100)&gt;1,"Fehler zu groß",(E27/G6*100))</f>
        <v>0.25459688826021604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3.4011200000000004E-5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3.4430000000000002E-4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177</v>
      </c>
      <c r="D3" s="385" t="s">
        <v>25</v>
      </c>
      <c r="E3" s="387">
        <v>40081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225.5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7.2</v>
      </c>
      <c r="E14" s="474">
        <f>D14</f>
        <v>7.2</v>
      </c>
      <c r="F14" s="457">
        <f t="shared" si="13"/>
        <v>3.2114183764495978</v>
      </c>
      <c r="G14" s="475">
        <f t="shared" si="14"/>
        <v>96.7885816235504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25.7</v>
      </c>
      <c r="E15" s="462">
        <f>D15</f>
        <v>25.7</v>
      </c>
      <c r="F15" s="479">
        <f t="shared" si="13"/>
        <v>11.462979482604812</v>
      </c>
      <c r="G15" s="480">
        <f t="shared" si="14"/>
        <v>85.325602140945591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632.5</v>
      </c>
      <c r="E16" s="485">
        <f t="shared" ref="E16:E24" si="15">D16-C16</f>
        <v>2.1000000000000227</v>
      </c>
      <c r="F16" s="457">
        <f t="shared" si="13"/>
        <v>0.93666369313114262</v>
      </c>
      <c r="G16" s="463">
        <f t="shared" si="14"/>
        <v>84.388938447814454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537.79999999999995</v>
      </c>
      <c r="E17" s="487">
        <f t="shared" si="15"/>
        <v>18.5</v>
      </c>
      <c r="F17" s="457">
        <f t="shared" si="13"/>
        <v>8.251561106155215</v>
      </c>
      <c r="G17" s="475">
        <f t="shared" si="14"/>
        <v>76.137377341659231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530.1</v>
      </c>
      <c r="E18" s="488">
        <f t="shared" si="15"/>
        <v>23.900000000000034</v>
      </c>
      <c r="F18" s="457">
        <f t="shared" si="13"/>
        <v>10.66012488849243</v>
      </c>
      <c r="G18" s="475">
        <f t="shared" si="14"/>
        <v>65.477252453166798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411.4</v>
      </c>
      <c r="E19" s="487">
        <f t="shared" si="15"/>
        <v>27.599999999999966</v>
      </c>
      <c r="F19" s="457">
        <f t="shared" si="13"/>
        <v>12.310437109723441</v>
      </c>
      <c r="G19" s="475">
        <f t="shared" si="14"/>
        <v>53.166815343443361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409.2</v>
      </c>
      <c r="E20" s="488">
        <f t="shared" si="15"/>
        <v>33</v>
      </c>
      <c r="F20" s="457">
        <f t="shared" si="13"/>
        <v>14.719000892060654</v>
      </c>
      <c r="G20" s="475">
        <f t="shared" si="14"/>
        <v>38.447814451382705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1.5609999999999999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356.6</v>
      </c>
      <c r="E21" s="487">
        <f t="shared" si="15"/>
        <v>25.800000000000011</v>
      </c>
      <c r="F21" s="457">
        <f t="shared" si="13"/>
        <v>11.507582515611062</v>
      </c>
      <c r="G21" s="475">
        <f t="shared" si="14"/>
        <v>26.940231935771642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0.16250000000000001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361.2</v>
      </c>
      <c r="E22" s="488">
        <f t="shared" si="15"/>
        <v>35.099999999999966</v>
      </c>
      <c r="F22" s="457">
        <f t="shared" si="13"/>
        <v>15.655664585191772</v>
      </c>
      <c r="G22" s="475">
        <f t="shared" si="14"/>
        <v>11.28456735057987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9.6061538461538447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311.5</v>
      </c>
      <c r="E23" s="487">
        <f t="shared" si="15"/>
        <v>7.1000000000000227</v>
      </c>
      <c r="F23" s="457">
        <f t="shared" si="13"/>
        <v>3.1668153434433632</v>
      </c>
      <c r="G23" s="490">
        <f t="shared" si="14"/>
        <v>8.1177520071365059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316.5</v>
      </c>
      <c r="E24" s="488">
        <f t="shared" si="15"/>
        <v>2.8000000000000114</v>
      </c>
      <c r="F24" s="492">
        <f t="shared" si="13"/>
        <v>1.2488849241748485</v>
      </c>
      <c r="G24" s="493">
        <f t="shared" si="14"/>
        <v>6.8688670829616569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3.1550187499999996E-4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368.6</v>
      </c>
      <c r="E25" s="496">
        <f>D25-C25+(G6-C26)</f>
        <v>15.400000000000034</v>
      </c>
      <c r="F25" s="457">
        <f t="shared" si="13"/>
        <v>6.8688670829616552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211.2</v>
      </c>
      <c r="D26" s="498" t="s">
        <v>19</v>
      </c>
      <c r="E26" s="499">
        <f>SUM(E12:E25)</f>
        <v>224.20000000000007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1.2999999999999261</v>
      </c>
      <c r="F27" s="505">
        <f>IF((E27/G6*100)&gt;1,"Fehler zu groß",(E27/G6*100))</f>
        <v>0.57649667405761684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2.2452706250000001E-5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>
        <v>634.29999999999995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1.9799999999999999E-4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178</v>
      </c>
      <c r="D3" s="385" t="s">
        <v>25</v>
      </c>
      <c r="E3" s="387">
        <v>40081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375.5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46</v>
      </c>
      <c r="E13" s="474">
        <f>D13</f>
        <v>46</v>
      </c>
      <c r="F13" s="457">
        <f t="shared" si="13"/>
        <v>12.269938650306747</v>
      </c>
      <c r="G13" s="475">
        <f t="shared" si="14"/>
        <v>87.730061349693258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33</v>
      </c>
      <c r="E14" s="474">
        <f>D14</f>
        <v>33</v>
      </c>
      <c r="F14" s="457">
        <f t="shared" si="13"/>
        <v>8.802347292611362</v>
      </c>
      <c r="G14" s="475">
        <f t="shared" si="14"/>
        <v>78.9277140570819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53.7</v>
      </c>
      <c r="E15" s="462">
        <f>D15</f>
        <v>53.7</v>
      </c>
      <c r="F15" s="479">
        <f t="shared" si="13"/>
        <v>14.323819685249401</v>
      </c>
      <c r="G15" s="480">
        <f t="shared" si="14"/>
        <v>64.603894371832496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636.29999999999995</v>
      </c>
      <c r="E16" s="485">
        <f t="shared" ref="E16:E24" si="15">D16-C16</f>
        <v>5.8999999999999773</v>
      </c>
      <c r="F16" s="457">
        <f t="shared" si="13"/>
        <v>1.573753000800207</v>
      </c>
      <c r="G16" s="463">
        <f t="shared" si="14"/>
        <v>63.030141371032286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553.1</v>
      </c>
      <c r="E17" s="487">
        <f t="shared" si="15"/>
        <v>33.800000000000068</v>
      </c>
      <c r="F17" s="457">
        <f t="shared" si="13"/>
        <v>9.0157375300080194</v>
      </c>
      <c r="G17" s="475">
        <f t="shared" si="14"/>
        <v>54.014403841024269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544.9</v>
      </c>
      <c r="E18" s="488">
        <f t="shared" si="15"/>
        <v>38.699999999999989</v>
      </c>
      <c r="F18" s="457">
        <f t="shared" si="13"/>
        <v>10.322752734062412</v>
      </c>
      <c r="G18" s="475">
        <f t="shared" si="14"/>
        <v>43.691651106961856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428.9</v>
      </c>
      <c r="E19" s="487">
        <f t="shared" si="15"/>
        <v>45.099999999999966</v>
      </c>
      <c r="F19" s="457">
        <f t="shared" si="13"/>
        <v>12.02987463323552</v>
      </c>
      <c r="G19" s="475">
        <f t="shared" si="14"/>
        <v>31.661776473726334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416.2</v>
      </c>
      <c r="E20" s="488">
        <f t="shared" si="15"/>
        <v>40</v>
      </c>
      <c r="F20" s="457">
        <f t="shared" si="13"/>
        <v>10.669511869831954</v>
      </c>
      <c r="G20" s="475">
        <f t="shared" si="14"/>
        <v>20.99226460389438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5.5332999999999997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353.2</v>
      </c>
      <c r="E21" s="487">
        <f t="shared" si="15"/>
        <v>22.399999999999977</v>
      </c>
      <c r="F21" s="457">
        <f t="shared" si="13"/>
        <v>5.9749266471058879</v>
      </c>
      <c r="G21" s="475">
        <f t="shared" si="14"/>
        <v>15.017337956788491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0.23330000000000001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348.6</v>
      </c>
      <c r="E22" s="488">
        <f t="shared" si="15"/>
        <v>22.5</v>
      </c>
      <c r="F22" s="457">
        <f t="shared" si="13"/>
        <v>6.0016004267804739</v>
      </c>
      <c r="G22" s="475">
        <f t="shared" si="14"/>
        <v>9.0157375300080176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23.717531075867978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314.60000000000002</v>
      </c>
      <c r="E23" s="487">
        <f t="shared" si="15"/>
        <v>10.200000000000045</v>
      </c>
      <c r="F23" s="457">
        <f t="shared" si="13"/>
        <v>2.7207255268071604</v>
      </c>
      <c r="G23" s="490">
        <f t="shared" si="14"/>
        <v>6.2950120032008572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315.7</v>
      </c>
      <c r="E24" s="488">
        <f t="shared" si="15"/>
        <v>2</v>
      </c>
      <c r="F24" s="492">
        <f t="shared" si="13"/>
        <v>0.53347559349159768</v>
      </c>
      <c r="G24" s="493">
        <f t="shared" si="14"/>
        <v>5.7615364097092598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6.5031637771999977E-4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372.1</v>
      </c>
      <c r="E25" s="496">
        <f>D25-C25+(G6-C26)</f>
        <v>21.600000000000023</v>
      </c>
      <c r="F25" s="457">
        <f t="shared" si="13"/>
        <v>5.7615364097092616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358.5</v>
      </c>
      <c r="D26" s="498" t="s">
        <v>19</v>
      </c>
      <c r="E26" s="499">
        <f>SUM(E12:E25)</f>
        <v>374.90000000000003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0.59999999999996589</v>
      </c>
      <c r="F27" s="505">
        <f>IF((E27/G6*100)&gt;1,"Fehler zu groß",(E27/G6*100))</f>
        <v>0.15978695073234778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4.6279796589199993E-5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4.8910000000000002E-4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179</v>
      </c>
      <c r="D3" s="385" t="s">
        <v>25</v>
      </c>
      <c r="E3" s="387">
        <v>40081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349.2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60.5</v>
      </c>
      <c r="E13" s="474">
        <f>D13</f>
        <v>60.5</v>
      </c>
      <c r="F13" s="457">
        <f t="shared" si="13"/>
        <v>17.365097588978184</v>
      </c>
      <c r="G13" s="475">
        <f t="shared" si="14"/>
        <v>82.634902411021812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31.5</v>
      </c>
      <c r="E14" s="474">
        <f>D14</f>
        <v>31.5</v>
      </c>
      <c r="F14" s="457">
        <f t="shared" si="13"/>
        <v>9.041331802525832</v>
      </c>
      <c r="G14" s="475">
        <f t="shared" si="14"/>
        <v>73.59357060849598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41.5</v>
      </c>
      <c r="E15" s="462">
        <f>D15</f>
        <v>41.5</v>
      </c>
      <c r="F15" s="479">
        <f t="shared" si="13"/>
        <v>11.911595866819747</v>
      </c>
      <c r="G15" s="480">
        <f t="shared" si="14"/>
        <v>61.681974741676235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636.70000000000005</v>
      </c>
      <c r="E16" s="485">
        <f t="shared" ref="E16:E24" si="15">D16-C16</f>
        <v>6.3000000000000682</v>
      </c>
      <c r="F16" s="457">
        <f t="shared" si="13"/>
        <v>1.8082663605051859</v>
      </c>
      <c r="G16" s="463">
        <f t="shared" si="14"/>
        <v>59.873708381171049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541.79999999999995</v>
      </c>
      <c r="E17" s="487">
        <f t="shared" si="15"/>
        <v>22.5</v>
      </c>
      <c r="F17" s="457">
        <f t="shared" si="13"/>
        <v>6.4580941446613078</v>
      </c>
      <c r="G17" s="475">
        <f t="shared" si="14"/>
        <v>53.415614236509739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540.79999999999995</v>
      </c>
      <c r="E18" s="488">
        <f t="shared" si="15"/>
        <v>34.599999999999966</v>
      </c>
      <c r="F18" s="457">
        <f t="shared" si="13"/>
        <v>9.9311136624569354</v>
      </c>
      <c r="G18" s="475">
        <f t="shared" si="14"/>
        <v>43.484500574052802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431.3</v>
      </c>
      <c r="E19" s="487">
        <f t="shared" si="15"/>
        <v>47.5</v>
      </c>
      <c r="F19" s="457">
        <f t="shared" si="13"/>
        <v>13.633754305396096</v>
      </c>
      <c r="G19" s="475">
        <f t="shared" si="14"/>
        <v>29.850746268656707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416.8</v>
      </c>
      <c r="E20" s="488">
        <f t="shared" si="15"/>
        <v>40.600000000000023</v>
      </c>
      <c r="F20" s="457">
        <f t="shared" si="13"/>
        <v>11.6532721010333</v>
      </c>
      <c r="G20" s="475">
        <f t="shared" si="14"/>
        <v>18.197474167623405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6.5056000000000003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357.6</v>
      </c>
      <c r="E21" s="487">
        <f t="shared" si="15"/>
        <v>26.800000000000011</v>
      </c>
      <c r="F21" s="457">
        <f t="shared" si="13"/>
        <v>7.6923076923076952</v>
      </c>
      <c r="G21" s="475">
        <f t="shared" si="14"/>
        <v>10.505166475315709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0.36549999999999999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336.2</v>
      </c>
      <c r="E22" s="488">
        <f t="shared" si="15"/>
        <v>10.099999999999966</v>
      </c>
      <c r="F22" s="457">
        <f t="shared" si="13"/>
        <v>2.8989667049368442</v>
      </c>
      <c r="G22" s="475">
        <f t="shared" si="14"/>
        <v>7.6061997703788649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17.79917920656635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309.5</v>
      </c>
      <c r="E23" s="487">
        <f t="shared" si="15"/>
        <v>5.1000000000000227</v>
      </c>
      <c r="F23" s="457">
        <f t="shared" si="13"/>
        <v>1.4638346727899032</v>
      </c>
      <c r="G23" s="490">
        <f t="shared" si="14"/>
        <v>6.1423650975889617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316.3</v>
      </c>
      <c r="E24" s="488">
        <f t="shared" si="15"/>
        <v>2.6000000000000227</v>
      </c>
      <c r="F24" s="492">
        <f t="shared" si="13"/>
        <v>0.74626865671642439</v>
      </c>
      <c r="G24" s="493">
        <f t="shared" si="14"/>
        <v>5.3960964408725376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1.5961363069999996E-3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370.7</v>
      </c>
      <c r="E25" s="496">
        <f>D25-C25+(G6-C26)</f>
        <v>18.799999999999955</v>
      </c>
      <c r="F25" s="457">
        <f t="shared" si="13"/>
        <v>5.3960964408725474</v>
      </c>
      <c r="G25" s="463">
        <f t="shared" si="14"/>
        <v>-9.7699626167013776E-15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333.6</v>
      </c>
      <c r="D26" s="498" t="s">
        <v>19</v>
      </c>
      <c r="E26" s="499">
        <f>SUM(E12:E25)</f>
        <v>348.40000000000003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0.79999999999995453</v>
      </c>
      <c r="F27" s="505">
        <f>IF((E27/G6*100)&gt;1,"Fehler zu groß",(E27/G6*100))</f>
        <v>0.2290950744558862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1.1358911776999998E-4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1.1869999999999999E-3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180</v>
      </c>
      <c r="D3" s="385" t="s">
        <v>25</v>
      </c>
      <c r="E3" s="387">
        <v>40085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146.6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11.9</v>
      </c>
      <c r="E14" s="474">
        <f>D14</f>
        <v>11.9</v>
      </c>
      <c r="F14" s="457">
        <f t="shared" si="13"/>
        <v>8.1506849315068433</v>
      </c>
      <c r="G14" s="475">
        <f t="shared" si="14"/>
        <v>91.849315068493155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11.2</v>
      </c>
      <c r="E15" s="462">
        <f>D15</f>
        <v>11.2</v>
      </c>
      <c r="F15" s="479">
        <f t="shared" si="13"/>
        <v>7.6712328767123221</v>
      </c>
      <c r="G15" s="480">
        <f t="shared" si="14"/>
        <v>84.178082191780831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634.6</v>
      </c>
      <c r="E16" s="485">
        <f t="shared" ref="E16:E24" si="15">D16-C16</f>
        <v>4.2000000000000455</v>
      </c>
      <c r="F16" s="457">
        <f t="shared" si="13"/>
        <v>2.8767123287671521</v>
      </c>
      <c r="G16" s="463">
        <f t="shared" si="14"/>
        <v>81.301369863013676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531</v>
      </c>
      <c r="E17" s="487">
        <f t="shared" si="15"/>
        <v>11.700000000000045</v>
      </c>
      <c r="F17" s="457">
        <f t="shared" si="13"/>
        <v>8.0136986301370108</v>
      </c>
      <c r="G17" s="475">
        <f t="shared" si="14"/>
        <v>73.287671232876662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523.1</v>
      </c>
      <c r="E18" s="488">
        <f t="shared" si="15"/>
        <v>16.900000000000034</v>
      </c>
      <c r="F18" s="457">
        <f t="shared" si="13"/>
        <v>11.57534246575344</v>
      </c>
      <c r="G18" s="475">
        <f t="shared" si="14"/>
        <v>61.712328767123225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401.3</v>
      </c>
      <c r="E19" s="487">
        <f t="shared" si="15"/>
        <v>17.5</v>
      </c>
      <c r="F19" s="457">
        <f t="shared" si="13"/>
        <v>11.986301369863005</v>
      </c>
      <c r="G19" s="475">
        <f t="shared" si="14"/>
        <v>49.726027397260218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400</v>
      </c>
      <c r="E20" s="488">
        <f t="shared" si="15"/>
        <v>23.800000000000011</v>
      </c>
      <c r="F20" s="457">
        <f t="shared" si="13"/>
        <v>16.301369863013694</v>
      </c>
      <c r="G20" s="475">
        <f t="shared" si="14"/>
        <v>33.424657534246521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1.8867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347.3</v>
      </c>
      <c r="E21" s="487">
        <f t="shared" si="15"/>
        <v>16.5</v>
      </c>
      <c r="F21" s="457">
        <f t="shared" si="13"/>
        <v>11.30136986301369</v>
      </c>
      <c r="G21" s="475">
        <f t="shared" si="14"/>
        <v>22.123287671232831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8.2000000000000003E-2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336.2</v>
      </c>
      <c r="E22" s="488">
        <f t="shared" si="15"/>
        <v>10.099999999999966</v>
      </c>
      <c r="F22" s="457">
        <f t="shared" si="13"/>
        <v>6.9178082191780534</v>
      </c>
      <c r="G22" s="475">
        <f t="shared" si="14"/>
        <v>15.205479452054778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23.008536585365853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</v>
      </c>
      <c r="E23" s="487">
        <f t="shared" si="15"/>
        <v>4.6000000000000227</v>
      </c>
      <c r="F23" s="457">
        <f t="shared" si="13"/>
        <v>3.1506849315068628</v>
      </c>
      <c r="G23" s="490">
        <f t="shared" si="14"/>
        <v>12.054794520547915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319.39999999999998</v>
      </c>
      <c r="E24" s="488">
        <f t="shared" si="15"/>
        <v>5.6999999999999886</v>
      </c>
      <c r="F24" s="492">
        <f t="shared" si="13"/>
        <v>3.9041095890410853</v>
      </c>
      <c r="G24" s="493">
        <f t="shared" si="14"/>
        <v>8.1506849315068308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8.0338351999999992E-5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373.1</v>
      </c>
      <c r="E25" s="496">
        <f>D25-C25+(G6-C26)</f>
        <v>11.900000000000006</v>
      </c>
      <c r="F25" s="457">
        <f t="shared" si="13"/>
        <v>8.1506849315068468</v>
      </c>
      <c r="G25" s="463">
        <f t="shared" si="14"/>
        <v>-1.5987211554602254E-14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140.30000000000001</v>
      </c>
      <c r="D26" s="498" t="s">
        <v>19</v>
      </c>
      <c r="E26" s="499">
        <f>SUM(E12:E25)</f>
        <v>146.00000000000011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0.59999999999988063</v>
      </c>
      <c r="F27" s="505">
        <f>IF((E27/G6*100)&gt;1,"Fehler zu groß",(E27/G6*100))</f>
        <v>0.40927694406540294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5.7172827200000003E-6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2.0469999999999999E-4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181</v>
      </c>
      <c r="D3" s="385" t="s">
        <v>25</v>
      </c>
      <c r="E3" s="387">
        <v>40087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271.2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27.5</v>
      </c>
      <c r="E14" s="474">
        <f>D14</f>
        <v>27.5</v>
      </c>
      <c r="F14" s="457">
        <f t="shared" si="13"/>
        <v>10.151347360649684</v>
      </c>
      <c r="G14" s="475">
        <f t="shared" si="14"/>
        <v>89.84865263935032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41.2</v>
      </c>
      <c r="E15" s="462">
        <f>D15</f>
        <v>41.2</v>
      </c>
      <c r="F15" s="479">
        <f t="shared" si="13"/>
        <v>15.208564045773349</v>
      </c>
      <c r="G15" s="480">
        <f t="shared" si="14"/>
        <v>74.640088593576976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639.20000000000005</v>
      </c>
      <c r="E16" s="485">
        <f t="shared" ref="E16:E24" si="15">D16-C16</f>
        <v>8.8000000000000682</v>
      </c>
      <c r="F16" s="457">
        <f t="shared" si="13"/>
        <v>3.2484311554079244</v>
      </c>
      <c r="G16" s="463">
        <f t="shared" si="14"/>
        <v>71.391657438169048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559.4</v>
      </c>
      <c r="E17" s="487">
        <f t="shared" si="15"/>
        <v>40.100000000000023</v>
      </c>
      <c r="F17" s="457">
        <f t="shared" si="13"/>
        <v>14.802510151347366</v>
      </c>
      <c r="G17" s="475">
        <f t="shared" si="14"/>
        <v>56.589147286821685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553.29999999999995</v>
      </c>
      <c r="E18" s="488">
        <f t="shared" si="15"/>
        <v>47.099999999999966</v>
      </c>
      <c r="F18" s="457">
        <f t="shared" si="13"/>
        <v>17.386489479512722</v>
      </c>
      <c r="G18" s="475">
        <f t="shared" si="14"/>
        <v>39.202657807308967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419.8</v>
      </c>
      <c r="E19" s="487">
        <f t="shared" si="15"/>
        <v>36</v>
      </c>
      <c r="F19" s="457">
        <f t="shared" si="13"/>
        <v>13.289036544850497</v>
      </c>
      <c r="G19" s="475">
        <f t="shared" si="14"/>
        <v>25.91362126245847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406.8</v>
      </c>
      <c r="E20" s="488">
        <f t="shared" si="15"/>
        <v>30.600000000000023</v>
      </c>
      <c r="F20" s="457">
        <f t="shared" si="13"/>
        <v>11.295681063122931</v>
      </c>
      <c r="G20" s="475">
        <f t="shared" si="14"/>
        <v>14.617940199335539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4.5284000000000004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347</v>
      </c>
      <c r="E21" s="487">
        <f t="shared" si="15"/>
        <v>16.199999999999989</v>
      </c>
      <c r="F21" s="457">
        <f t="shared" si="13"/>
        <v>5.980066445182719</v>
      </c>
      <c r="G21" s="475">
        <f t="shared" si="14"/>
        <v>8.637873754152821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0.45369999999999999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333.3</v>
      </c>
      <c r="E22" s="488">
        <f t="shared" si="15"/>
        <v>7.1999999999999886</v>
      </c>
      <c r="F22" s="457">
        <f t="shared" si="13"/>
        <v>2.6578073089700953</v>
      </c>
      <c r="G22" s="475">
        <f t="shared" si="14"/>
        <v>5.9800664451827252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9.9810447432223945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307.7</v>
      </c>
      <c r="E23" s="487">
        <f t="shared" si="15"/>
        <v>3.3000000000000114</v>
      </c>
      <c r="F23" s="457">
        <f t="shared" si="13"/>
        <v>1.2181616832779665</v>
      </c>
      <c r="G23" s="490">
        <f t="shared" si="14"/>
        <v>4.7619047619047592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315.89999999999998</v>
      </c>
      <c r="E24" s="488">
        <f t="shared" si="15"/>
        <v>2.1999999999999886</v>
      </c>
      <c r="F24" s="492">
        <f t="shared" si="13"/>
        <v>0.81210778885197066</v>
      </c>
      <c r="G24" s="493">
        <f t="shared" si="14"/>
        <v>3.9497969730527887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2.4594204081199991E-3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369.4</v>
      </c>
      <c r="E25" s="496">
        <f>D25-C25+(G6-C26)</f>
        <v>10.699999999999989</v>
      </c>
      <c r="F25" s="457">
        <f t="shared" si="13"/>
        <v>3.9497969730527824</v>
      </c>
      <c r="G25" s="463">
        <f t="shared" si="14"/>
        <v>6.2172489379008766E-15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262.39999999999998</v>
      </c>
      <c r="D26" s="498" t="s">
        <v>19</v>
      </c>
      <c r="E26" s="499">
        <f>SUM(E12:E25)</f>
        <v>270.90000000000003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0.29999999999995453</v>
      </c>
      <c r="F27" s="505">
        <f>IF((E27/G6*100)&gt;1,"Fehler zu groß",(E27/G6*100))</f>
        <v>0.11061946902653191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1.7502477273319999E-4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1.1900000000000001E-3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182</v>
      </c>
      <c r="D3" s="385" t="s">
        <v>25</v>
      </c>
      <c r="E3" s="387">
        <v>40085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350.9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37.200000000000003</v>
      </c>
      <c r="E13" s="474">
        <f>D13</f>
        <v>37.200000000000003</v>
      </c>
      <c r="F13" s="457">
        <f t="shared" si="13"/>
        <v>10.616438356164384</v>
      </c>
      <c r="G13" s="475">
        <f t="shared" si="14"/>
        <v>89.38356164383562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66.8</v>
      </c>
      <c r="E14" s="474">
        <f>D14</f>
        <v>66.8</v>
      </c>
      <c r="F14" s="457">
        <f t="shared" si="13"/>
        <v>19.063926940639266</v>
      </c>
      <c r="G14" s="475">
        <f t="shared" si="14"/>
        <v>70.319634703196357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68.5</v>
      </c>
      <c r="E15" s="462">
        <f>D15</f>
        <v>68.5</v>
      </c>
      <c r="F15" s="479">
        <f t="shared" si="13"/>
        <v>19.549086757990867</v>
      </c>
      <c r="G15" s="480">
        <f t="shared" si="14"/>
        <v>50.770547945205493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638</v>
      </c>
      <c r="E16" s="485">
        <f t="shared" ref="E16:E24" si="15">D16-C16</f>
        <v>7.6000000000000227</v>
      </c>
      <c r="F16" s="457">
        <f t="shared" si="13"/>
        <v>2.1689497716895039</v>
      </c>
      <c r="G16" s="463">
        <f t="shared" si="14"/>
        <v>48.601598173515988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547.1</v>
      </c>
      <c r="E17" s="487">
        <f t="shared" si="15"/>
        <v>27.800000000000068</v>
      </c>
      <c r="F17" s="457">
        <f t="shared" si="13"/>
        <v>7.933789954337918</v>
      </c>
      <c r="G17" s="475">
        <f t="shared" si="14"/>
        <v>40.66780821917807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533</v>
      </c>
      <c r="E18" s="488">
        <f t="shared" si="15"/>
        <v>26.800000000000011</v>
      </c>
      <c r="F18" s="457">
        <f t="shared" si="13"/>
        <v>7.6484018264840206</v>
      </c>
      <c r="G18" s="475">
        <f t="shared" si="14"/>
        <v>33.019406392694052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410</v>
      </c>
      <c r="E19" s="487">
        <f t="shared" si="15"/>
        <v>26.199999999999989</v>
      </c>
      <c r="F19" s="457">
        <f t="shared" si="13"/>
        <v>7.477168949771686</v>
      </c>
      <c r="G19" s="475">
        <f t="shared" si="14"/>
        <v>25.542237442922364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414.9</v>
      </c>
      <c r="E20" s="488">
        <f t="shared" si="15"/>
        <v>38.699999999999989</v>
      </c>
      <c r="F20" s="457">
        <f t="shared" si="13"/>
        <v>11.044520547945201</v>
      </c>
      <c r="G20" s="475">
        <f t="shared" si="14"/>
        <v>14.497716894977163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14.7179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351.5</v>
      </c>
      <c r="E21" s="487">
        <f t="shared" si="15"/>
        <v>20.699999999999989</v>
      </c>
      <c r="F21" s="457">
        <f t="shared" si="13"/>
        <v>5.907534246575338</v>
      </c>
      <c r="G21" s="475">
        <f t="shared" si="14"/>
        <v>8.5901826484018251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0.45069999999999999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334.2</v>
      </c>
      <c r="E22" s="488">
        <f t="shared" si="15"/>
        <v>8.0999999999999659</v>
      </c>
      <c r="F22" s="457">
        <f t="shared" si="13"/>
        <v>2.3116438356164286</v>
      </c>
      <c r="G22" s="475">
        <f t="shared" si="14"/>
        <v>6.2785388127853965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32.655646771688488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307.89999999999998</v>
      </c>
      <c r="E23" s="487">
        <f t="shared" si="15"/>
        <v>3.5</v>
      </c>
      <c r="F23" s="457">
        <f t="shared" si="13"/>
        <v>0.99885844748858443</v>
      </c>
      <c r="G23" s="490">
        <f t="shared" si="14"/>
        <v>5.2796803652968123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316.3</v>
      </c>
      <c r="E24" s="488">
        <f t="shared" si="15"/>
        <v>2.6000000000000227</v>
      </c>
      <c r="F24" s="492">
        <f t="shared" si="13"/>
        <v>0.74200913242009769</v>
      </c>
      <c r="G24" s="493">
        <f t="shared" si="14"/>
        <v>4.5376712328767148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2.4270030945199995E-3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369.2</v>
      </c>
      <c r="E25" s="496">
        <f>D25-C25+(G6-C26)</f>
        <v>15.899999999999977</v>
      </c>
      <c r="F25" s="457">
        <f t="shared" si="13"/>
        <v>4.5376712328767059</v>
      </c>
      <c r="G25" s="463">
        <f t="shared" si="14"/>
        <v>8.8817841970012523E-15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336.7</v>
      </c>
      <c r="D26" s="498" t="s">
        <v>19</v>
      </c>
      <c r="E26" s="499">
        <f>SUM(E12:E25)</f>
        <v>350.40000000000003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0.49999999999994316</v>
      </c>
      <c r="F27" s="505">
        <f>IF((E27/G6*100)&gt;1,"Fehler zu groß",(E27/G6*100))</f>
        <v>0.14249073810200719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1.727177930372E-4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8.6580000000000001E-4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183</v>
      </c>
      <c r="D3" s="385" t="s">
        <v>25</v>
      </c>
      <c r="E3" s="387">
        <v>40087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350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273.3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68.599999999999994</v>
      </c>
      <c r="E14" s="474">
        <f>D14</f>
        <v>68.599999999999994</v>
      </c>
      <c r="F14" s="457">
        <f t="shared" si="13"/>
        <v>25.109809663250353</v>
      </c>
      <c r="G14" s="475">
        <f t="shared" si="14"/>
        <v>74.89019033674964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87.6</v>
      </c>
      <c r="E15" s="462">
        <f>D15</f>
        <v>87.6</v>
      </c>
      <c r="F15" s="479">
        <f t="shared" si="13"/>
        <v>32.064421669106871</v>
      </c>
      <c r="G15" s="480">
        <f t="shared" si="14"/>
        <v>42.82576866764277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638</v>
      </c>
      <c r="E16" s="485">
        <f t="shared" ref="E16:E24" si="15">D16-C16</f>
        <v>7.6000000000000227</v>
      </c>
      <c r="F16" s="457">
        <f t="shared" si="13"/>
        <v>2.7818448023426137</v>
      </c>
      <c r="G16" s="463">
        <f t="shared" si="14"/>
        <v>40.043923865300158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537</v>
      </c>
      <c r="E17" s="487">
        <f t="shared" si="15"/>
        <v>17.700000000000045</v>
      </c>
      <c r="F17" s="457">
        <f t="shared" si="13"/>
        <v>6.4787701317716104</v>
      </c>
      <c r="G17" s="475">
        <f t="shared" si="14"/>
        <v>33.565153733528547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517.6</v>
      </c>
      <c r="E18" s="488">
        <f t="shared" si="15"/>
        <v>11.400000000000034</v>
      </c>
      <c r="F18" s="457">
        <f t="shared" si="13"/>
        <v>4.1727672035139207</v>
      </c>
      <c r="G18" s="475">
        <f t="shared" si="14"/>
        <v>29.392386530014626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395.5</v>
      </c>
      <c r="E19" s="487">
        <f t="shared" si="15"/>
        <v>11.699999999999989</v>
      </c>
      <c r="F19" s="457">
        <f t="shared" si="13"/>
        <v>4.2825768667642699</v>
      </c>
      <c r="G19" s="475">
        <f t="shared" si="14"/>
        <v>25.109809663250356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405.6</v>
      </c>
      <c r="E20" s="488">
        <f t="shared" si="15"/>
        <v>29.400000000000034</v>
      </c>
      <c r="F20" s="457">
        <f t="shared" si="13"/>
        <v>10.761346998535879</v>
      </c>
      <c r="G20" s="475">
        <f t="shared" si="14"/>
        <v>14.348462664714477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15.3583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350.5</v>
      </c>
      <c r="E21" s="487">
        <f t="shared" si="15"/>
        <v>19.699999999999989</v>
      </c>
      <c r="F21" s="457">
        <f t="shared" si="13"/>
        <v>7.2108345534406952</v>
      </c>
      <c r="G21" s="475">
        <f t="shared" si="14"/>
        <v>7.1376281112737816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0.49580000000000002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333</v>
      </c>
      <c r="E22" s="488">
        <f t="shared" si="15"/>
        <v>6.8999999999999773</v>
      </c>
      <c r="F22" s="457">
        <f t="shared" si="13"/>
        <v>2.5256222547584093</v>
      </c>
      <c r="G22" s="475">
        <f t="shared" si="14"/>
        <v>4.6120058565153723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30.976805163372326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307.3</v>
      </c>
      <c r="E23" s="487">
        <f t="shared" si="15"/>
        <v>2.9000000000000341</v>
      </c>
      <c r="F23" s="457">
        <f t="shared" si="13"/>
        <v>1.0614934114202172</v>
      </c>
      <c r="G23" s="490">
        <f t="shared" si="14"/>
        <v>3.5505124450951548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316.7</v>
      </c>
      <c r="E24" s="488">
        <f t="shared" si="15"/>
        <v>3</v>
      </c>
      <c r="F24" s="492">
        <f t="shared" si="13"/>
        <v>1.0980966325036599</v>
      </c>
      <c r="G24" s="493">
        <f t="shared" si="14"/>
        <v>2.4524158125914948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2.9370291627199997E-3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369.5</v>
      </c>
      <c r="E25" s="496">
        <f>D25-C25+(G6-C26)</f>
        <v>6.6999999999999886</v>
      </c>
      <c r="F25" s="457">
        <f t="shared" si="13"/>
        <v>2.4524158125915028</v>
      </c>
      <c r="G25" s="463">
        <f t="shared" si="14"/>
        <v>-7.9936057773011271E-15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268.60000000000002</v>
      </c>
      <c r="D26" s="498" t="s">
        <v>19</v>
      </c>
      <c r="E26" s="499">
        <f>SUM(E12:E25)</f>
        <v>273.2000000000001</v>
      </c>
      <c r="F26" s="500">
        <f>SUM(F12:F25)</f>
        <v>99.999999999999972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9.9999999999909051E-2</v>
      </c>
      <c r="F27" s="505">
        <f>IF((E27/G6*100)&gt;1,"Fehler zu groß",(E27/G6*100))</f>
        <v>3.6589828027774988E-2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2.0901382293920005E-4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1.5640000000000001E-3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184</v>
      </c>
      <c r="D3" s="385" t="s">
        <v>25</v>
      </c>
      <c r="E3" s="387">
        <v>40088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350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326.7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56.9</v>
      </c>
      <c r="E14" s="474">
        <f>D14</f>
        <v>56.9</v>
      </c>
      <c r="F14" s="457">
        <f t="shared" si="13"/>
        <v>17.459343356857929</v>
      </c>
      <c r="G14" s="475">
        <f t="shared" si="14"/>
        <v>82.540656643142071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41.6</v>
      </c>
      <c r="E15" s="462">
        <f>D15</f>
        <v>41.6</v>
      </c>
      <c r="F15" s="479">
        <f t="shared" si="13"/>
        <v>12.764651733660632</v>
      </c>
      <c r="G15" s="480">
        <f t="shared" si="14"/>
        <v>69.776004909481443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641</v>
      </c>
      <c r="E16" s="485">
        <f t="shared" ref="E16:E24" si="15">D16-C16</f>
        <v>10.600000000000023</v>
      </c>
      <c r="F16" s="457">
        <f t="shared" si="13"/>
        <v>3.2525314513654564</v>
      </c>
      <c r="G16" s="463">
        <f t="shared" si="14"/>
        <v>66.523473458115987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546.5</v>
      </c>
      <c r="E17" s="487">
        <f t="shared" si="15"/>
        <v>27.200000000000045</v>
      </c>
      <c r="F17" s="457">
        <f t="shared" si="13"/>
        <v>8.346118441239657</v>
      </c>
      <c r="G17" s="475">
        <f t="shared" si="14"/>
        <v>58.177355016876334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540.5</v>
      </c>
      <c r="E18" s="488">
        <f t="shared" si="15"/>
        <v>34.300000000000011</v>
      </c>
      <c r="F18" s="457">
        <f t="shared" si="13"/>
        <v>10.524700828474995</v>
      </c>
      <c r="G18" s="475">
        <f t="shared" si="14"/>
        <v>47.652654188401343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413.9</v>
      </c>
      <c r="E19" s="487">
        <f t="shared" si="15"/>
        <v>30.099999999999966</v>
      </c>
      <c r="F19" s="457">
        <f t="shared" si="13"/>
        <v>9.2359619515188598</v>
      </c>
      <c r="G19" s="475">
        <f t="shared" si="14"/>
        <v>38.416692236882483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427.4</v>
      </c>
      <c r="E20" s="488">
        <f t="shared" si="15"/>
        <v>51.199999999999989</v>
      </c>
      <c r="F20" s="457">
        <f t="shared" si="13"/>
        <v>15.710340595274619</v>
      </c>
      <c r="G20" s="475">
        <f t="shared" si="14"/>
        <v>22.706351641607863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4.5265000000000004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359.1</v>
      </c>
      <c r="E21" s="487">
        <f t="shared" si="15"/>
        <v>28.300000000000011</v>
      </c>
      <c r="F21" s="457">
        <f t="shared" si="13"/>
        <v>8.6836452899662504</v>
      </c>
      <c r="G21" s="475">
        <f t="shared" si="14"/>
        <v>14.022706351641613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0.2621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345</v>
      </c>
      <c r="E22" s="488">
        <f t="shared" si="15"/>
        <v>18.899999999999977</v>
      </c>
      <c r="F22" s="457">
        <f t="shared" si="13"/>
        <v>5.7993249463025389</v>
      </c>
      <c r="G22" s="475">
        <f t="shared" si="14"/>
        <v>8.2233814053390741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17.270125906142695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315.60000000000002</v>
      </c>
      <c r="E23" s="487">
        <f t="shared" si="15"/>
        <v>11.200000000000045</v>
      </c>
      <c r="F23" s="457">
        <f t="shared" si="13"/>
        <v>3.4366370052163377</v>
      </c>
      <c r="G23" s="490">
        <f t="shared" si="14"/>
        <v>4.7867444001227364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317.39999999999998</v>
      </c>
      <c r="E24" s="488">
        <f t="shared" si="15"/>
        <v>3.6999999999999886</v>
      </c>
      <c r="F24" s="492">
        <f t="shared" si="13"/>
        <v>1.1353175820803891</v>
      </c>
      <c r="G24" s="493">
        <f t="shared" si="14"/>
        <v>3.6514268180423475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8.2078470667999986E-4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373.8</v>
      </c>
      <c r="E25" s="496">
        <f>D25-C25+(G6-C26)</f>
        <v>11.899999999999977</v>
      </c>
      <c r="F25" s="457">
        <f t="shared" si="13"/>
        <v>3.6514268180423368</v>
      </c>
      <c r="G25" s="463">
        <f t="shared" si="14"/>
        <v>1.0658141036401503E-14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321.10000000000002</v>
      </c>
      <c r="D26" s="498" t="s">
        <v>19</v>
      </c>
      <c r="E26" s="499">
        <f>SUM(E12:E25)</f>
        <v>325.90000000000003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0.79999999999995453</v>
      </c>
      <c r="F27" s="505">
        <f>IF((E27/G6*100)&gt;1,"Fehler zu groß",(E27/G6*100))</f>
        <v>0.24487297214568549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5.8411183494799996E-5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6.0559999999999998E-4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185</v>
      </c>
      <c r="D3" s="385" t="s">
        <v>25</v>
      </c>
      <c r="E3" s="387">
        <v>40088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127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398.2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40.799999999999997</v>
      </c>
      <c r="E13" s="474">
        <f>D13</f>
        <v>40.799999999999997</v>
      </c>
      <c r="F13" s="457">
        <f t="shared" si="13"/>
        <v>10.26931789579662</v>
      </c>
      <c r="G13" s="475">
        <f t="shared" si="14"/>
        <v>89.730682104203382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33</v>
      </c>
      <c r="E14" s="474">
        <f>D14</f>
        <v>33</v>
      </c>
      <c r="F14" s="457">
        <f t="shared" si="13"/>
        <v>8.306065945129621</v>
      </c>
      <c r="G14" s="475">
        <f t="shared" si="14"/>
        <v>81.424616159073764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57.1</v>
      </c>
      <c r="E15" s="462">
        <f>D15</f>
        <v>57.1</v>
      </c>
      <c r="F15" s="479">
        <f t="shared" si="13"/>
        <v>14.372011074754584</v>
      </c>
      <c r="G15" s="480">
        <f t="shared" si="14"/>
        <v>67.052605084319183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645.70000000000005</v>
      </c>
      <c r="E16" s="485">
        <f t="shared" ref="E16:E24" si="15">D16-C16</f>
        <v>15.300000000000068</v>
      </c>
      <c r="F16" s="457">
        <f t="shared" si="13"/>
        <v>3.85099421092375</v>
      </c>
      <c r="G16" s="463">
        <f t="shared" si="14"/>
        <v>63.201610873395431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569.5</v>
      </c>
      <c r="E17" s="487">
        <f t="shared" si="15"/>
        <v>50.200000000000045</v>
      </c>
      <c r="F17" s="457">
        <f t="shared" si="13"/>
        <v>12.635288195318402</v>
      </c>
      <c r="G17" s="475">
        <f t="shared" si="14"/>
        <v>50.566322678077029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569.4</v>
      </c>
      <c r="E18" s="488">
        <f t="shared" si="15"/>
        <v>63.199999999999989</v>
      </c>
      <c r="F18" s="457">
        <f t="shared" si="13"/>
        <v>15.907374779763392</v>
      </c>
      <c r="G18" s="475">
        <f t="shared" si="14"/>
        <v>34.658947898313635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427.1</v>
      </c>
      <c r="E19" s="487">
        <f t="shared" si="15"/>
        <v>43.300000000000011</v>
      </c>
      <c r="F19" s="457">
        <f t="shared" si="13"/>
        <v>10.898565315882202</v>
      </c>
      <c r="G19" s="475">
        <f t="shared" si="14"/>
        <v>23.760382582431433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409.8</v>
      </c>
      <c r="E20" s="488">
        <f t="shared" si="15"/>
        <v>33.600000000000023</v>
      </c>
      <c r="F20" s="457">
        <f t="shared" si="13"/>
        <v>8.4570853259501639</v>
      </c>
      <c r="G20" s="475">
        <f t="shared" si="14"/>
        <v>15.303297256481269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5.7340999999999998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357.5</v>
      </c>
      <c r="E21" s="487">
        <f t="shared" si="15"/>
        <v>26.699999999999989</v>
      </c>
      <c r="F21" s="457">
        <f t="shared" si="13"/>
        <v>6.7203624465139624</v>
      </c>
      <c r="G21" s="475">
        <f t="shared" si="14"/>
        <v>8.5829348099673055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0.45150000000000001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337.6</v>
      </c>
      <c r="E22" s="488">
        <f t="shared" si="15"/>
        <v>11.5</v>
      </c>
      <c r="F22" s="457">
        <f t="shared" si="13"/>
        <v>2.8945381323936554</v>
      </c>
      <c r="G22" s="475">
        <f t="shared" si="14"/>
        <v>5.6883966775736496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12.700110741971207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309.3</v>
      </c>
      <c r="E23" s="487">
        <f t="shared" si="15"/>
        <v>4.9000000000000341</v>
      </c>
      <c r="F23" s="457">
        <f t="shared" si="13"/>
        <v>1.23332494336774</v>
      </c>
      <c r="G23" s="490">
        <f t="shared" si="14"/>
        <v>4.4550717342059096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317.3</v>
      </c>
      <c r="E24" s="488">
        <f t="shared" si="15"/>
        <v>3.6000000000000227</v>
      </c>
      <c r="F24" s="492">
        <f t="shared" si="13"/>
        <v>0.90611628492323693</v>
      </c>
      <c r="G24" s="493">
        <f t="shared" si="14"/>
        <v>3.5489554492826727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2.4356266829999996E-3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372.3</v>
      </c>
      <c r="E25" s="496">
        <f>D25-C25+(G6-C26)</f>
        <v>14.100000000000023</v>
      </c>
      <c r="F25" s="457">
        <f t="shared" si="13"/>
        <v>3.5489554492826612</v>
      </c>
      <c r="G25" s="463">
        <f t="shared" si="14"/>
        <v>1.1546319456101628E-14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388.9</v>
      </c>
      <c r="D26" s="498" t="s">
        <v>19</v>
      </c>
      <c r="E26" s="499">
        <f>SUM(E12:E25)</f>
        <v>397.30000000000024</v>
      </c>
      <c r="F26" s="500">
        <f>SUM(F12:F25)</f>
        <v>99.999999999999986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0.89999999999974989</v>
      </c>
      <c r="F27" s="505">
        <f>IF((E27/G6*100)&gt;1,"Fehler zu groß",(E27/G6*100))</f>
        <v>0.22601707684574332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1.7333149113000002E-4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1.3489999999999999E-3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4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186</v>
      </c>
      <c r="D3" s="385" t="s">
        <v>25</v>
      </c>
      <c r="E3" s="387">
        <v>40088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/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441.9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80.5</v>
      </c>
      <c r="E13" s="474">
        <f>D13</f>
        <v>80.5</v>
      </c>
      <c r="F13" s="457">
        <f t="shared" si="13"/>
        <v>18.270540172492055</v>
      </c>
      <c r="G13" s="475">
        <f t="shared" si="14"/>
        <v>81.729459827507952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48</v>
      </c>
      <c r="E14" s="474">
        <f>D14</f>
        <v>48</v>
      </c>
      <c r="F14" s="457">
        <f t="shared" si="13"/>
        <v>10.894235133908307</v>
      </c>
      <c r="G14" s="475">
        <f t="shared" si="14"/>
        <v>70.835224693599642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42.6</v>
      </c>
      <c r="E15" s="462">
        <f>D15</f>
        <v>42.6</v>
      </c>
      <c r="F15" s="479">
        <f t="shared" si="13"/>
        <v>9.6686336813436213</v>
      </c>
      <c r="G15" s="480">
        <f t="shared" si="14"/>
        <v>61.166591012256021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644</v>
      </c>
      <c r="E16" s="485">
        <f t="shared" ref="E16:E24" si="15">D16-C16</f>
        <v>13.600000000000023</v>
      </c>
      <c r="F16" s="457">
        <f t="shared" si="13"/>
        <v>3.0866999546073584</v>
      </c>
      <c r="G16" s="463">
        <f t="shared" si="14"/>
        <v>58.079891057648659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561</v>
      </c>
      <c r="E17" s="487">
        <f t="shared" si="15"/>
        <v>41.700000000000045</v>
      </c>
      <c r="F17" s="457">
        <f t="shared" si="13"/>
        <v>9.4643667725828511</v>
      </c>
      <c r="G17" s="475">
        <f t="shared" si="14"/>
        <v>48.61552428506581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554.29999999999995</v>
      </c>
      <c r="E18" s="488">
        <f t="shared" si="15"/>
        <v>48.099999999999966</v>
      </c>
      <c r="F18" s="457">
        <f t="shared" si="13"/>
        <v>10.916931457103942</v>
      </c>
      <c r="G18" s="475">
        <f t="shared" si="14"/>
        <v>37.698592827961868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427.3</v>
      </c>
      <c r="E19" s="487">
        <f t="shared" si="15"/>
        <v>43.5</v>
      </c>
      <c r="F19" s="457">
        <f t="shared" si="13"/>
        <v>9.8729005901044022</v>
      </c>
      <c r="G19" s="475">
        <f t="shared" si="14"/>
        <v>27.825692237857467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420.6</v>
      </c>
      <c r="E20" s="488">
        <f t="shared" si="15"/>
        <v>44.400000000000034</v>
      </c>
      <c r="F20" s="457">
        <f t="shared" si="13"/>
        <v>10.077167498865192</v>
      </c>
      <c r="G20" s="475">
        <f t="shared" si="14"/>
        <v>17.748524738992273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8.6870999999999992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359.2</v>
      </c>
      <c r="E21" s="487">
        <f t="shared" si="15"/>
        <v>28.399999999999977</v>
      </c>
      <c r="F21" s="457">
        <f t="shared" si="13"/>
        <v>6.4457557875624101</v>
      </c>
      <c r="G21" s="475">
        <f t="shared" si="14"/>
        <v>11.302768951429863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0.33850000000000002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343.3</v>
      </c>
      <c r="E22" s="488">
        <f t="shared" si="15"/>
        <v>17.199999999999989</v>
      </c>
      <c r="F22" s="457">
        <f t="shared" si="13"/>
        <v>3.903767589650474</v>
      </c>
      <c r="G22" s="475">
        <f t="shared" si="14"/>
        <v>7.3990013617793888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25.663515509601176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313.8</v>
      </c>
      <c r="E23" s="487">
        <f t="shared" si="15"/>
        <v>9.4000000000000341</v>
      </c>
      <c r="F23" s="457">
        <f t="shared" si="13"/>
        <v>2.1334543803903845</v>
      </c>
      <c r="G23" s="490">
        <f t="shared" si="14"/>
        <v>5.2655469813890043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316.8</v>
      </c>
      <c r="E24" s="488">
        <f t="shared" si="15"/>
        <v>3.1000000000000227</v>
      </c>
      <c r="F24" s="492">
        <f t="shared" si="13"/>
        <v>0.70358601906491658</v>
      </c>
      <c r="G24" s="493">
        <f t="shared" si="14"/>
        <v>4.561960962324088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1.3690287229999997E-3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374.8</v>
      </c>
      <c r="E25" s="496">
        <f>D25-C25+(G6-C26)</f>
        <v>20.099999999999966</v>
      </c>
      <c r="F25" s="457">
        <f t="shared" si="13"/>
        <v>4.561960962324096</v>
      </c>
      <c r="G25" s="463">
        <f t="shared" si="14"/>
        <v>-7.9936057773011271E-15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429.1</v>
      </c>
      <c r="D26" s="498" t="s">
        <v>19</v>
      </c>
      <c r="E26" s="499">
        <f>SUM(E12:E25)</f>
        <v>440.6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1.2999999999999545</v>
      </c>
      <c r="F27" s="505">
        <f>IF((E27/G6*100)&gt;1,"Fehler zu groß",(E27/G6*100))</f>
        <v>0.29418420457115968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9.7426995530000001E-5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332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7.1489999999999998E-4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E4" zoomScale="85" zoomScaleNormal="85" workbookViewId="0">
      <selection activeCell="V15" sqref="V15:Z36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187</v>
      </c>
      <c r="D3" s="385" t="s">
        <v>25</v>
      </c>
      <c r="E3" s="387">
        <v>40088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48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318.3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40.1</v>
      </c>
      <c r="E13" s="474">
        <f>D13</f>
        <v>40.1</v>
      </c>
      <c r="F13" s="457">
        <f t="shared" si="13"/>
        <v>12.614029569046867</v>
      </c>
      <c r="G13" s="475">
        <f t="shared" si="14"/>
        <v>87.385970430953137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17.7</v>
      </c>
      <c r="E14" s="474">
        <f>D14</f>
        <v>17.7</v>
      </c>
      <c r="F14" s="457">
        <f t="shared" si="13"/>
        <v>5.5677886127713103</v>
      </c>
      <c r="G14" s="475">
        <f t="shared" si="14"/>
        <v>81.818181818181827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42.4</v>
      </c>
      <c r="E15" s="462">
        <f>D15</f>
        <v>42.4</v>
      </c>
      <c r="F15" s="479">
        <f t="shared" si="13"/>
        <v>13.33752752437873</v>
      </c>
      <c r="G15" s="480">
        <f t="shared" si="14"/>
        <v>68.480654293803099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635.1</v>
      </c>
      <c r="E16" s="485">
        <f t="shared" ref="E16:E24" si="15">D16-C16</f>
        <v>4.7000000000000455</v>
      </c>
      <c r="F16" s="457">
        <f t="shared" si="13"/>
        <v>1.4784523435042605</v>
      </c>
      <c r="G16" s="463">
        <f t="shared" si="14"/>
        <v>67.00220195029884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535</v>
      </c>
      <c r="E17" s="487">
        <f t="shared" si="15"/>
        <v>15.700000000000045</v>
      </c>
      <c r="F17" s="457">
        <f t="shared" si="13"/>
        <v>4.9386599559610067</v>
      </c>
      <c r="G17" s="475">
        <f t="shared" si="14"/>
        <v>62.063541994337832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550.9</v>
      </c>
      <c r="E18" s="488">
        <f t="shared" si="15"/>
        <v>44.699999999999989</v>
      </c>
      <c r="F18" s="457">
        <f t="shared" si="13"/>
        <v>14.061025479710592</v>
      </c>
      <c r="G18" s="475">
        <f t="shared" si="14"/>
        <v>48.002516514627239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430.4</v>
      </c>
      <c r="E19" s="487">
        <f t="shared" si="15"/>
        <v>46.599999999999966</v>
      </c>
      <c r="F19" s="457">
        <f t="shared" si="13"/>
        <v>14.658697703680387</v>
      </c>
      <c r="G19" s="475">
        <f t="shared" si="14"/>
        <v>33.34381881094685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423.5</v>
      </c>
      <c r="E20" s="488">
        <f t="shared" si="15"/>
        <v>47.300000000000011</v>
      </c>
      <c r="F20" s="457">
        <f t="shared" si="13"/>
        <v>14.878892733564014</v>
      </c>
      <c r="G20" s="475">
        <f t="shared" si="14"/>
        <v>18.464926077382835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3.7021000000000002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356.3</v>
      </c>
      <c r="E21" s="487">
        <f t="shared" si="15"/>
        <v>25.5</v>
      </c>
      <c r="F21" s="457">
        <f t="shared" si="13"/>
        <v>8.0213903743315473</v>
      </c>
      <c r="G21" s="475">
        <f t="shared" si="14"/>
        <v>10.443535703051287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0.375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336.2</v>
      </c>
      <c r="E22" s="488">
        <f t="shared" si="15"/>
        <v>10.099999999999966</v>
      </c>
      <c r="F22" s="457">
        <f t="shared" si="13"/>
        <v>3.1770997168920929</v>
      </c>
      <c r="G22" s="475">
        <f t="shared" si="14"/>
        <v>7.2664359861591947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9.8722666666666665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309.7</v>
      </c>
      <c r="E23" s="487">
        <f t="shared" si="15"/>
        <v>5.3000000000000114</v>
      </c>
      <c r="F23" s="457">
        <f t="shared" si="13"/>
        <v>1.6671909405473448</v>
      </c>
      <c r="G23" s="490">
        <f t="shared" si="14"/>
        <v>5.5992450456118501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313.7</v>
      </c>
      <c r="D24" s="455">
        <v>316.8</v>
      </c>
      <c r="E24" s="488">
        <f t="shared" si="15"/>
        <v>3.1000000000000227</v>
      </c>
      <c r="F24" s="492">
        <f t="shared" si="13"/>
        <v>0.97514941805599931</v>
      </c>
      <c r="G24" s="493">
        <f t="shared" si="14"/>
        <v>4.6240956275558505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1.6801874999999996E-3</v>
      </c>
      <c r="X24" s="116"/>
      <c r="Y24" s="116"/>
      <c r="Z24" s="116"/>
    </row>
    <row r="25" spans="1:26" ht="21.95" customHeight="1" thickBot="1" x14ac:dyDescent="0.3">
      <c r="A25" s="847"/>
      <c r="B25" s="476" t="s">
        <v>14</v>
      </c>
      <c r="C25" s="495">
        <v>367.5</v>
      </c>
      <c r="D25" s="455">
        <v>371.3</v>
      </c>
      <c r="E25" s="496">
        <f>D25-C25+(G6-C26)</f>
        <v>14.700000000000045</v>
      </c>
      <c r="F25" s="457">
        <f t="shared" si="13"/>
        <v>4.6240956275558478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307.39999999999998</v>
      </c>
      <c r="D26" s="498" t="s">
        <v>19</v>
      </c>
      <c r="E26" s="499">
        <f>SUM(E12:E25)</f>
        <v>317.90000000000009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0.39999999999992042</v>
      </c>
      <c r="F27" s="505">
        <f>IF((E27/G6*100)&gt;1,"Fehler zu groß",(E27/G6*100))</f>
        <v>0.12566760917371048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1.1957062499999999E-4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46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46" t="s">
        <v>45</v>
      </c>
      <c r="B33" s="846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46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46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1.052E-3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R5" zoomScale="85" zoomScaleNormal="85" workbookViewId="0">
      <selection activeCell="X23" sqref="X23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188</v>
      </c>
      <c r="D3" s="385" t="s">
        <v>25</v>
      </c>
      <c r="E3" s="387">
        <v>40107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>
        <v>19</v>
      </c>
      <c r="L4" s="409">
        <v>1.0049999999999999</v>
      </c>
      <c r="M4" s="407">
        <f t="shared" ref="M4:M12" si="1">(L4-1)*1000</f>
        <v>4.9999999999998934</v>
      </c>
      <c r="N4" s="407">
        <f t="shared" ref="N4:N12" si="2">M4+$G$33</f>
        <v>6.4999999999998392</v>
      </c>
      <c r="O4" s="410">
        <v>-0.18</v>
      </c>
      <c r="P4" s="411">
        <f t="shared" ref="P4:P12" si="3">N4+O4</f>
        <v>6.3199999999998395</v>
      </c>
      <c r="Q4" s="412">
        <f t="shared" ref="Q4:Q12" si="4">((18.35*V4/($F$34-W4))*Z4)^0.5</f>
        <v>8.2927226000272775E-2</v>
      </c>
      <c r="R4" s="407">
        <f t="shared" ref="R4:R12" si="5">$F$36*P4</f>
        <v>89.03774587984887</v>
      </c>
      <c r="S4" s="413">
        <f t="shared" ref="S4:S12" si="6">$G$24/100*R4</f>
        <v>10.037889756619515</v>
      </c>
      <c r="U4" s="414">
        <f t="shared" ref="U4:U12" si="7">1+0.001*N4</f>
        <v>1.0065</v>
      </c>
      <c r="V4" s="415">
        <f>0.00178/(1+0.0337*K5+0.00022*K5^2)</f>
        <v>1.0350522178028982E-3</v>
      </c>
      <c r="W4" s="414">
        <f>1/(1+((2.31*K5-2)^2-182)*0.00001)</f>
        <v>0.98451581001991773</v>
      </c>
      <c r="X4" s="416">
        <f t="shared" ref="X4:X12" si="8">4142.8*(1.03-U4)/10</f>
        <v>9.7355800000000308</v>
      </c>
      <c r="Y4" s="417">
        <f t="shared" ref="Y4:Y12" si="9">X4+$AB$5+0.5*($AC$5-$AD$5/$AE$5)</f>
        <v>18.090797665612307</v>
      </c>
      <c r="Z4" s="418">
        <f t="shared" ref="Z4:Z12" si="10">Y4/I4</f>
        <v>0.60302658885374361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>
        <v>19</v>
      </c>
      <c r="L5" s="409">
        <v>1.0044999999999999</v>
      </c>
      <c r="M5" s="407">
        <f t="shared" si="1"/>
        <v>4.4999999999999485</v>
      </c>
      <c r="N5" s="407">
        <f t="shared" si="2"/>
        <v>5.9999999999998943</v>
      </c>
      <c r="O5" s="410">
        <v>-0.18</v>
      </c>
      <c r="P5" s="411">
        <f t="shared" si="3"/>
        <v>5.8199999999998946</v>
      </c>
      <c r="Q5" s="412">
        <f t="shared" si="4"/>
        <v>5.8973153810038446E-2</v>
      </c>
      <c r="R5" s="407">
        <f t="shared" si="5"/>
        <v>81.993620414671554</v>
      </c>
      <c r="S5" s="413">
        <f t="shared" si="6"/>
        <v>9.2437529087857602</v>
      </c>
      <c r="U5" s="414">
        <f t="shared" si="7"/>
        <v>1.0059999999999998</v>
      </c>
      <c r="V5" s="415">
        <f t="shared" ref="V5:V12" si="11">0.00178/(1+0.0337*K5+0.00022*K5^2)</f>
        <v>1.0350522178028982E-3</v>
      </c>
      <c r="W5" s="414">
        <f t="shared" ref="W5:W12" si="12">1/(1+((2.31*K5-2)^2-182)*0.00001)</f>
        <v>0.98451581001991773</v>
      </c>
      <c r="X5" s="416">
        <f t="shared" si="8"/>
        <v>9.9427200000001008</v>
      </c>
      <c r="Y5" s="417">
        <f t="shared" si="9"/>
        <v>18.297937665612377</v>
      </c>
      <c r="Z5" s="418">
        <f t="shared" si="10"/>
        <v>0.3049656277602063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27.154670260568732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322.2</v>
      </c>
      <c r="I6" s="406">
        <f t="shared" si="0"/>
        <v>120</v>
      </c>
      <c r="J6" s="426">
        <v>2</v>
      </c>
      <c r="K6" s="853">
        <v>19</v>
      </c>
      <c r="L6" s="409">
        <v>1.0035000000000001</v>
      </c>
      <c r="M6" s="407">
        <f t="shared" si="1"/>
        <v>3.5000000000000586</v>
      </c>
      <c r="N6" s="407">
        <f t="shared" si="2"/>
        <v>5.0000000000000044</v>
      </c>
      <c r="O6" s="410">
        <v>-0.18</v>
      </c>
      <c r="P6" s="411">
        <f t="shared" si="3"/>
        <v>4.8200000000000047</v>
      </c>
      <c r="Q6" s="412">
        <f t="shared" si="4"/>
        <v>4.2169739143175906E-2</v>
      </c>
      <c r="R6" s="407">
        <f t="shared" si="5"/>
        <v>67.905369484316921</v>
      </c>
      <c r="S6" s="413">
        <f t="shared" si="6"/>
        <v>7.6554792131182516</v>
      </c>
      <c r="U6" s="414">
        <f t="shared" si="7"/>
        <v>1.0049999999999999</v>
      </c>
      <c r="V6" s="415">
        <f t="shared" si="11"/>
        <v>1.0350522178028982E-3</v>
      </c>
      <c r="W6" s="414">
        <f t="shared" si="12"/>
        <v>0.98451581001991773</v>
      </c>
      <c r="X6" s="416">
        <f t="shared" si="8"/>
        <v>10.357000000000056</v>
      </c>
      <c r="Y6" s="417">
        <f t="shared" si="9"/>
        <v>18.712217665612332</v>
      </c>
      <c r="Z6" s="418">
        <f t="shared" si="10"/>
        <v>0.1559351472134361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>
        <v>19</v>
      </c>
      <c r="L7" s="409">
        <v>1.0024999999999999</v>
      </c>
      <c r="M7" s="407">
        <f t="shared" si="1"/>
        <v>2.4999999999999467</v>
      </c>
      <c r="N7" s="407">
        <f t="shared" si="2"/>
        <v>3.9999999999998925</v>
      </c>
      <c r="O7" s="410">
        <v>-0.18</v>
      </c>
      <c r="P7" s="411">
        <f t="shared" si="3"/>
        <v>3.8199999999998924</v>
      </c>
      <c r="Q7" s="412">
        <f t="shared" si="4"/>
        <v>2.6964104759148063E-2</v>
      </c>
      <c r="R7" s="407">
        <f t="shared" si="5"/>
        <v>53.817118553959141</v>
      </c>
      <c r="S7" s="413">
        <f t="shared" si="6"/>
        <v>6.0672055174503869</v>
      </c>
      <c r="U7" s="414">
        <f t="shared" si="7"/>
        <v>1.004</v>
      </c>
      <c r="V7" s="415">
        <f t="shared" si="11"/>
        <v>1.0350522178028982E-3</v>
      </c>
      <c r="W7" s="414">
        <f t="shared" si="12"/>
        <v>0.98451581001991773</v>
      </c>
      <c r="X7" s="416">
        <f t="shared" si="8"/>
        <v>10.77128000000001</v>
      </c>
      <c r="Y7" s="417">
        <f t="shared" si="9"/>
        <v>19.126497665612284</v>
      </c>
      <c r="Z7" s="418">
        <f t="shared" si="10"/>
        <v>6.3754992218707618E-2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>
        <v>19</v>
      </c>
      <c r="L8" s="409">
        <v>1.0015000000000001</v>
      </c>
      <c r="M8" s="407">
        <f t="shared" si="1"/>
        <v>1.5000000000000568</v>
      </c>
      <c r="N8" s="407">
        <f t="shared" si="2"/>
        <v>3.0000000000000027</v>
      </c>
      <c r="O8" s="410">
        <v>-0.18</v>
      </c>
      <c r="P8" s="411">
        <f t="shared" si="3"/>
        <v>2.8200000000000025</v>
      </c>
      <c r="Q8" s="412">
        <f t="shared" si="4"/>
        <v>1.5735428509822687E-2</v>
      </c>
      <c r="R8" s="407">
        <f t="shared" si="5"/>
        <v>39.728867623604501</v>
      </c>
      <c r="S8" s="413">
        <f t="shared" si="6"/>
        <v>4.4789318217828766</v>
      </c>
      <c r="U8" s="414">
        <f t="shared" si="7"/>
        <v>1.0030000000000001</v>
      </c>
      <c r="V8" s="415">
        <f t="shared" si="11"/>
        <v>1.0350522178028982E-3</v>
      </c>
      <c r="W8" s="414">
        <f t="shared" si="12"/>
        <v>0.98451581001991773</v>
      </c>
      <c r="X8" s="416">
        <f t="shared" si="8"/>
        <v>11.185559999999963</v>
      </c>
      <c r="Y8" s="417">
        <f t="shared" si="9"/>
        <v>19.540777665612239</v>
      </c>
      <c r="Z8" s="418">
        <f t="shared" si="10"/>
        <v>2.1711975184013601E-2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>
        <v>19</v>
      </c>
      <c r="L9" s="409">
        <v>1.0004999999999999</v>
      </c>
      <c r="M9" s="407">
        <f t="shared" si="1"/>
        <v>0.49999999999994493</v>
      </c>
      <c r="N9" s="407">
        <f t="shared" si="2"/>
        <v>1.9999999999998908</v>
      </c>
      <c r="O9" s="410">
        <v>-0.18</v>
      </c>
      <c r="P9" s="411">
        <f t="shared" si="3"/>
        <v>1.8199999999998908</v>
      </c>
      <c r="Q9" s="412">
        <f t="shared" si="4"/>
        <v>9.1806518581449281E-3</v>
      </c>
      <c r="R9" s="407">
        <f t="shared" si="5"/>
        <v>25.640616693246731</v>
      </c>
      <c r="S9" s="413">
        <f t="shared" si="6"/>
        <v>2.8906581261150137</v>
      </c>
      <c r="U9" s="414">
        <f t="shared" si="7"/>
        <v>1.0019999999999998</v>
      </c>
      <c r="V9" s="415">
        <f t="shared" si="11"/>
        <v>1.0350522178028982E-3</v>
      </c>
      <c r="W9" s="414">
        <f t="shared" si="12"/>
        <v>0.98451581001991773</v>
      </c>
      <c r="X9" s="416">
        <f t="shared" si="8"/>
        <v>11.599840000000103</v>
      </c>
      <c r="Y9" s="417">
        <f t="shared" si="9"/>
        <v>19.955057665612379</v>
      </c>
      <c r="Z9" s="418">
        <f t="shared" si="10"/>
        <v>7.3907620983749553E-3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>
        <v>20</v>
      </c>
      <c r="L10" s="409">
        <v>1.0004999999999999</v>
      </c>
      <c r="M10" s="407">
        <f t="shared" si="1"/>
        <v>0.49999999999994493</v>
      </c>
      <c r="N10" s="407">
        <f t="shared" si="2"/>
        <v>1.9999999999998908</v>
      </c>
      <c r="O10" s="410">
        <v>0</v>
      </c>
      <c r="P10" s="411">
        <f t="shared" si="3"/>
        <v>1.9999999999998908</v>
      </c>
      <c r="Q10" s="412">
        <f t="shared" si="4"/>
        <v>5.5509125986351352E-3</v>
      </c>
      <c r="R10" s="407">
        <f t="shared" si="5"/>
        <v>28.176501860710847</v>
      </c>
      <c r="S10" s="413">
        <f t="shared" si="6"/>
        <v>3.1765473913351969</v>
      </c>
      <c r="U10" s="414">
        <f t="shared" si="7"/>
        <v>1.0019999999999998</v>
      </c>
      <c r="V10" s="415">
        <f t="shared" si="11"/>
        <v>1.0102156640181611E-3</v>
      </c>
      <c r="W10" s="414">
        <f t="shared" si="12"/>
        <v>0.98259200696775639</v>
      </c>
      <c r="X10" s="416">
        <f t="shared" si="8"/>
        <v>11.599840000000103</v>
      </c>
      <c r="Y10" s="417">
        <f t="shared" si="9"/>
        <v>19.955057665612379</v>
      </c>
      <c r="Z10" s="418">
        <f t="shared" si="10"/>
        <v>2.7715357868906081E-3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>
        <v>21</v>
      </c>
      <c r="L11" s="409">
        <v>1</v>
      </c>
      <c r="M11" s="407">
        <f t="shared" si="1"/>
        <v>0</v>
      </c>
      <c r="N11" s="407">
        <f t="shared" si="2"/>
        <v>1.4999999999999458</v>
      </c>
      <c r="O11" s="410">
        <v>0.2</v>
      </c>
      <c r="P11" s="411">
        <f t="shared" si="3"/>
        <v>1.6999999999999458</v>
      </c>
      <c r="Q11" s="412">
        <f t="shared" si="4"/>
        <v>3.1811304027172861E-3</v>
      </c>
      <c r="R11" s="407">
        <f t="shared" si="5"/>
        <v>23.950026581604764</v>
      </c>
      <c r="S11" s="413">
        <f t="shared" si="6"/>
        <v>2.7000652826349789</v>
      </c>
      <c r="U11" s="414">
        <f t="shared" si="7"/>
        <v>1.0015000000000001</v>
      </c>
      <c r="V11" s="415">
        <f t="shared" si="11"/>
        <v>9.863025843344119E-4</v>
      </c>
      <c r="W11" s="414">
        <f t="shared" si="12"/>
        <v>0.98057308124835096</v>
      </c>
      <c r="X11" s="416">
        <f t="shared" si="8"/>
        <v>11.806979999999989</v>
      </c>
      <c r="Y11" s="417">
        <f t="shared" si="9"/>
        <v>20.162197665612265</v>
      </c>
      <c r="Z11" s="418">
        <f t="shared" si="10"/>
        <v>9.3343507711167895E-4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>
        <v>19</v>
      </c>
      <c r="L12" s="466">
        <v>1</v>
      </c>
      <c r="M12" s="467">
        <f t="shared" si="1"/>
        <v>0</v>
      </c>
      <c r="N12" s="467">
        <f t="shared" si="2"/>
        <v>1.4999999999999458</v>
      </c>
      <c r="O12" s="851">
        <v>-0.18</v>
      </c>
      <c r="P12" s="468">
        <f t="shared" si="3"/>
        <v>1.3199999999999459</v>
      </c>
      <c r="Q12" s="469">
        <f t="shared" si="4"/>
        <v>1.6313267965262362E-3</v>
      </c>
      <c r="R12" s="467">
        <f t="shared" si="5"/>
        <v>18.596491228069411</v>
      </c>
      <c r="S12" s="470">
        <f t="shared" si="6"/>
        <v>2.0965212782812586</v>
      </c>
      <c r="U12" s="414">
        <f t="shared" si="7"/>
        <v>1.0015000000000001</v>
      </c>
      <c r="V12" s="415">
        <f t="shared" si="11"/>
        <v>1.0350522178028982E-3</v>
      </c>
      <c r="W12" s="414">
        <f t="shared" si="12"/>
        <v>0.98451581001991773</v>
      </c>
      <c r="X12" s="416">
        <f t="shared" si="8"/>
        <v>11.806979999999989</v>
      </c>
      <c r="Y12" s="417">
        <f t="shared" si="9"/>
        <v>20.162197665612265</v>
      </c>
      <c r="Z12" s="418">
        <f t="shared" si="10"/>
        <v>2.3335876927791974E-4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16.2</v>
      </c>
      <c r="E14" s="474">
        <f>D14</f>
        <v>16.2</v>
      </c>
      <c r="F14" s="457">
        <f t="shared" si="13"/>
        <v>5.0451572718779181</v>
      </c>
      <c r="G14" s="475">
        <f t="shared" si="14"/>
        <v>94.954842728122088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29.8</v>
      </c>
      <c r="E15" s="462">
        <f>D15</f>
        <v>29.8</v>
      </c>
      <c r="F15" s="479">
        <f t="shared" si="13"/>
        <v>9.2805979445655531</v>
      </c>
      <c r="G15" s="480">
        <f t="shared" si="14"/>
        <v>85.674244783556532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641.70000000000005</v>
      </c>
      <c r="E16" s="485">
        <f t="shared" ref="E16:E24" si="15">D16-C16</f>
        <v>11.300000000000068</v>
      </c>
      <c r="F16" s="457">
        <f t="shared" si="13"/>
        <v>3.5191529118654827</v>
      </c>
      <c r="G16" s="463">
        <f t="shared" si="14"/>
        <v>82.155091871691042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558.29999999999995</v>
      </c>
      <c r="E17" s="487">
        <f t="shared" si="15"/>
        <v>39</v>
      </c>
      <c r="F17" s="457">
        <f t="shared" si="13"/>
        <v>12.145748987854248</v>
      </c>
      <c r="G17" s="475">
        <f t="shared" si="14"/>
        <v>70.009342883836794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561</v>
      </c>
      <c r="E18" s="488">
        <f t="shared" si="15"/>
        <v>54.800000000000011</v>
      </c>
      <c r="F18" s="457">
        <f t="shared" si="13"/>
        <v>17.066334475241359</v>
      </c>
      <c r="G18" s="475">
        <f t="shared" si="14"/>
        <v>52.943008408595432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424.3</v>
      </c>
      <c r="E19" s="487">
        <f t="shared" si="15"/>
        <v>40.5</v>
      </c>
      <c r="F19" s="457">
        <f t="shared" si="13"/>
        <v>12.612893179694796</v>
      </c>
      <c r="G19" s="475">
        <f t="shared" si="14"/>
        <v>40.330115228900638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407.1</v>
      </c>
      <c r="E20" s="488">
        <f t="shared" si="15"/>
        <v>30.900000000000034</v>
      </c>
      <c r="F20" s="457">
        <f t="shared" si="13"/>
        <v>9.6231703519153005</v>
      </c>
      <c r="G20" s="475">
        <f t="shared" si="14"/>
        <v>30.706944876985339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2.8187000000000002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354.5</v>
      </c>
      <c r="E21" s="487">
        <f t="shared" si="15"/>
        <v>23.699999999999989</v>
      </c>
      <c r="F21" s="457">
        <f t="shared" si="13"/>
        <v>7.3808782310806551</v>
      </c>
      <c r="G21" s="475">
        <f t="shared" si="14"/>
        <v>23.326066645904685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5.5E-2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346.5</v>
      </c>
      <c r="E22" s="488">
        <f t="shared" si="15"/>
        <v>20.399999999999977</v>
      </c>
      <c r="F22" s="457">
        <f t="shared" si="13"/>
        <v>6.353161009031445</v>
      </c>
      <c r="G22" s="475">
        <f t="shared" si="14"/>
        <v>16.972905636873239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51.24909090909091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319</v>
      </c>
      <c r="E23" s="487">
        <f t="shared" si="15"/>
        <v>14.600000000000023</v>
      </c>
      <c r="F23" s="457">
        <f t="shared" si="13"/>
        <v>4.5468701339146742</v>
      </c>
      <c r="G23" s="490">
        <f t="shared" si="14"/>
        <v>12.426035502958566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318.5</v>
      </c>
      <c r="E24" s="488">
        <f t="shared" si="15"/>
        <v>3.6999999999999886</v>
      </c>
      <c r="F24" s="492">
        <f t="shared" si="13"/>
        <v>1.1522890065400149</v>
      </c>
      <c r="G24" s="493">
        <f t="shared" si="14"/>
        <v>11.273746496418552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3.6142699999999989E-5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372.5</v>
      </c>
      <c r="E25" s="496">
        <f>D25-C25+(G6-C26)</f>
        <v>36.199999999999989</v>
      </c>
      <c r="F25" s="457">
        <f t="shared" si="13"/>
        <v>11.273746496418555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291</v>
      </c>
      <c r="D26" s="498" t="s">
        <v>19</v>
      </c>
      <c r="E26" s="499">
        <f>SUM(E12:E25)</f>
        <v>321.10000000000008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1.0999999999999091</v>
      </c>
      <c r="F27" s="505">
        <f>IF((E27/G6*100)&gt;1,"Fehler zu groß",(E27/G6*100))</f>
        <v>0.34140285536930759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2.5720969999999996E-6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ungültig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>
        <v>5.88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>
        <v>11.4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368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14.088250930356192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1.176E-4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5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189</v>
      </c>
      <c r="D3" s="385" t="s">
        <v>25</v>
      </c>
      <c r="E3" s="387">
        <v>40107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>
        <v>19</v>
      </c>
      <c r="L4" s="409">
        <v>1.01</v>
      </c>
      <c r="M4" s="407">
        <f t="shared" ref="M4:M12" si="1">(L4-1)*1000</f>
        <v>10.000000000000009</v>
      </c>
      <c r="N4" s="407">
        <f t="shared" ref="N4:N12" si="2">M4+$G$33</f>
        <v>11.499999999999954</v>
      </c>
      <c r="O4" s="410">
        <v>-0.18</v>
      </c>
      <c r="P4" s="411">
        <f t="shared" ref="P4:P12" si="3">N4+O4</f>
        <v>11.319999999999954</v>
      </c>
      <c r="Q4" s="412">
        <f t="shared" ref="Q4:Q12" si="4">((18.35*V4/($F$34-W4))*Z4)^0.5</f>
        <v>7.8158951247653805E-2</v>
      </c>
      <c r="R4" s="407">
        <f t="shared" ref="R4:R12" si="5">$F$36*P4</f>
        <v>89.120617944147</v>
      </c>
      <c r="S4" s="413">
        <f t="shared" ref="S4:S12" si="6">$G$24/100*R4</f>
        <v>8.3434499646331997</v>
      </c>
      <c r="U4" s="414">
        <f t="shared" ref="U4:U12" si="7">1+0.001*N4</f>
        <v>1.0114999999999998</v>
      </c>
      <c r="V4" s="415">
        <f>0.00178/(1+0.0337*K5+0.00022*K5^2)</f>
        <v>1.0350522178028982E-3</v>
      </c>
      <c r="W4" s="414">
        <f>1/(1+((2.31*K5-2)^2-182)*0.00001)</f>
        <v>0.98451581001991773</v>
      </c>
      <c r="X4" s="416">
        <f t="shared" ref="X4:X12" si="8">4142.8*(1.03-U4)/10</f>
        <v>7.6641800000000755</v>
      </c>
      <c r="Y4" s="417">
        <f t="shared" ref="Y4:Y12" si="9">X4+$AB$5+0.5*($AC$5-$AD$5/$AE$5)</f>
        <v>16.070185387853002</v>
      </c>
      <c r="Z4" s="418">
        <f t="shared" ref="Z4:Z12" si="10">Y4/I4</f>
        <v>0.5356728462617667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>
        <v>19</v>
      </c>
      <c r="L5" s="409">
        <v>1.0085</v>
      </c>
      <c r="M5" s="407">
        <f t="shared" si="1"/>
        <v>8.499999999999952</v>
      </c>
      <c r="N5" s="407">
        <f t="shared" si="2"/>
        <v>9.999999999999897</v>
      </c>
      <c r="O5" s="410">
        <v>-0.18</v>
      </c>
      <c r="P5" s="411">
        <f t="shared" si="3"/>
        <v>9.8199999999998973</v>
      </c>
      <c r="Q5" s="412">
        <f t="shared" si="4"/>
        <v>5.6325147339562356E-2</v>
      </c>
      <c r="R5" s="407">
        <f t="shared" si="5"/>
        <v>77.311348781936218</v>
      </c>
      <c r="S5" s="413">
        <f t="shared" si="6"/>
        <v>7.2378691389308747</v>
      </c>
      <c r="U5" s="414">
        <f t="shared" si="7"/>
        <v>1.0099999999999998</v>
      </c>
      <c r="V5" s="415">
        <f t="shared" ref="V5:V12" si="11">0.00178/(1+0.0337*K5+0.00022*K5^2)</f>
        <v>1.0350522178028982E-3</v>
      </c>
      <c r="W5" s="414">
        <f t="shared" ref="W5:W12" si="12">1/(1+((2.31*K5-2)^2-182)*0.00001)</f>
        <v>0.98451581001991773</v>
      </c>
      <c r="X5" s="416">
        <f t="shared" si="8"/>
        <v>8.2856000000001</v>
      </c>
      <c r="Y5" s="417">
        <f t="shared" si="9"/>
        <v>16.691605387853024</v>
      </c>
      <c r="Z5" s="418">
        <f t="shared" si="10"/>
        <v>0.27819342313088374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28.463143600788879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312.5</v>
      </c>
      <c r="I6" s="406">
        <f t="shared" si="0"/>
        <v>120</v>
      </c>
      <c r="J6" s="426">
        <v>2</v>
      </c>
      <c r="K6" s="853">
        <v>19</v>
      </c>
      <c r="L6" s="409">
        <v>1.0075000000000001</v>
      </c>
      <c r="M6" s="407">
        <f t="shared" si="1"/>
        <v>7.5000000000000622</v>
      </c>
      <c r="N6" s="407">
        <f t="shared" si="2"/>
        <v>9.0000000000000071</v>
      </c>
      <c r="O6" s="410">
        <v>-0.18</v>
      </c>
      <c r="P6" s="411">
        <f t="shared" si="3"/>
        <v>8.8200000000000074</v>
      </c>
      <c r="Q6" s="412">
        <f t="shared" si="4"/>
        <v>4.0319121712457731E-2</v>
      </c>
      <c r="R6" s="407">
        <f t="shared" si="5"/>
        <v>69.438502673796862</v>
      </c>
      <c r="S6" s="413">
        <f t="shared" si="6"/>
        <v>6.5008152551294343</v>
      </c>
      <c r="U6" s="414">
        <f t="shared" si="7"/>
        <v>1.0089999999999999</v>
      </c>
      <c r="V6" s="415">
        <f t="shared" si="11"/>
        <v>1.0350522178028982E-3</v>
      </c>
      <c r="W6" s="414">
        <f t="shared" si="12"/>
        <v>0.98451581001991773</v>
      </c>
      <c r="X6" s="416">
        <f t="shared" si="8"/>
        <v>8.6998800000000536</v>
      </c>
      <c r="Y6" s="417">
        <f t="shared" si="9"/>
        <v>17.105885387852979</v>
      </c>
      <c r="Z6" s="418">
        <f t="shared" si="10"/>
        <v>0.14254904489877482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>
        <v>19</v>
      </c>
      <c r="L7" s="409">
        <v>1.0055000000000001</v>
      </c>
      <c r="M7" s="407">
        <f t="shared" si="1"/>
        <v>5.5000000000000604</v>
      </c>
      <c r="N7" s="407">
        <f t="shared" si="2"/>
        <v>7.0000000000000062</v>
      </c>
      <c r="O7" s="410">
        <v>-0.18</v>
      </c>
      <c r="P7" s="411">
        <f t="shared" si="3"/>
        <v>6.8200000000000065</v>
      </c>
      <c r="Q7" s="412">
        <f t="shared" si="4"/>
        <v>2.6110323660717295E-2</v>
      </c>
      <c r="R7" s="407">
        <f t="shared" si="5"/>
        <v>53.692810457516394</v>
      </c>
      <c r="S7" s="413">
        <f t="shared" si="6"/>
        <v>5.0267074875263873</v>
      </c>
      <c r="U7" s="414">
        <f t="shared" si="7"/>
        <v>1.0070000000000001</v>
      </c>
      <c r="V7" s="415">
        <f t="shared" si="11"/>
        <v>1.0350522178028982E-3</v>
      </c>
      <c r="W7" s="414">
        <f t="shared" si="12"/>
        <v>0.98451581001991773</v>
      </c>
      <c r="X7" s="416">
        <f t="shared" si="8"/>
        <v>9.5284399999999643</v>
      </c>
      <c r="Y7" s="417">
        <f t="shared" si="9"/>
        <v>17.93444538785289</v>
      </c>
      <c r="Z7" s="418">
        <f t="shared" si="10"/>
        <v>5.9781484626176301E-2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>
        <v>19</v>
      </c>
      <c r="L8" s="409">
        <v>1.004</v>
      </c>
      <c r="M8" s="407">
        <f t="shared" si="1"/>
        <v>4.0000000000000036</v>
      </c>
      <c r="N8" s="407">
        <f t="shared" si="2"/>
        <v>5.4999999999999494</v>
      </c>
      <c r="O8" s="410">
        <v>-0.18</v>
      </c>
      <c r="P8" s="411">
        <f t="shared" si="3"/>
        <v>5.3199999999999497</v>
      </c>
      <c r="Q8" s="412">
        <f t="shared" si="4"/>
        <v>1.5333745793932005E-2</v>
      </c>
      <c r="R8" s="407">
        <f t="shared" si="5"/>
        <v>41.883541295305612</v>
      </c>
      <c r="S8" s="413">
        <f t="shared" si="6"/>
        <v>3.9211266618240628</v>
      </c>
      <c r="U8" s="414">
        <f t="shared" si="7"/>
        <v>1.0055000000000001</v>
      </c>
      <c r="V8" s="415">
        <f t="shared" si="11"/>
        <v>1.0350522178028982E-3</v>
      </c>
      <c r="W8" s="414">
        <f t="shared" si="12"/>
        <v>0.98451581001991773</v>
      </c>
      <c r="X8" s="416">
        <f t="shared" si="8"/>
        <v>10.149859999999986</v>
      </c>
      <c r="Y8" s="417">
        <f t="shared" si="9"/>
        <v>18.555865387852911</v>
      </c>
      <c r="Z8" s="418">
        <f t="shared" si="10"/>
        <v>2.0617628208725456E-2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>
        <v>19</v>
      </c>
      <c r="L9" s="409">
        <v>1.0024999999999999</v>
      </c>
      <c r="M9" s="407">
        <f t="shared" si="1"/>
        <v>2.4999999999999467</v>
      </c>
      <c r="N9" s="407">
        <f t="shared" si="2"/>
        <v>3.9999999999998925</v>
      </c>
      <c r="O9" s="410">
        <v>-0.18</v>
      </c>
      <c r="P9" s="411">
        <f t="shared" si="3"/>
        <v>3.8199999999998924</v>
      </c>
      <c r="Q9" s="412">
        <f t="shared" si="4"/>
        <v>8.9999602392340939E-3</v>
      </c>
      <c r="R9" s="407">
        <f t="shared" si="5"/>
        <v>30.074272133094819</v>
      </c>
      <c r="S9" s="413">
        <f t="shared" si="6"/>
        <v>2.8155458361217365</v>
      </c>
      <c r="U9" s="414">
        <f t="shared" si="7"/>
        <v>1.004</v>
      </c>
      <c r="V9" s="415">
        <f t="shared" si="11"/>
        <v>1.0350522178028982E-3</v>
      </c>
      <c r="W9" s="414">
        <f t="shared" si="12"/>
        <v>0.98451581001991773</v>
      </c>
      <c r="X9" s="416">
        <f t="shared" si="8"/>
        <v>10.77128000000001</v>
      </c>
      <c r="Y9" s="417">
        <f t="shared" si="9"/>
        <v>19.177285387852933</v>
      </c>
      <c r="Z9" s="418">
        <f t="shared" si="10"/>
        <v>7.1026982917973824E-3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>
        <v>20</v>
      </c>
      <c r="L10" s="409">
        <v>1.002</v>
      </c>
      <c r="M10" s="407">
        <f t="shared" si="1"/>
        <v>2.0000000000000018</v>
      </c>
      <c r="N10" s="407">
        <f t="shared" si="2"/>
        <v>3.4999999999999476</v>
      </c>
      <c r="O10" s="410">
        <v>0</v>
      </c>
      <c r="P10" s="411">
        <f t="shared" si="3"/>
        <v>3.4999999999999476</v>
      </c>
      <c r="Q10" s="412">
        <f t="shared" si="4"/>
        <v>5.4709703554497698E-3</v>
      </c>
      <c r="R10" s="407">
        <f t="shared" si="5"/>
        <v>27.554961378490379</v>
      </c>
      <c r="S10" s="413">
        <f t="shared" si="6"/>
        <v>2.5796885933052898</v>
      </c>
      <c r="U10" s="414">
        <f t="shared" si="7"/>
        <v>1.0034999999999998</v>
      </c>
      <c r="V10" s="415">
        <f t="shared" si="11"/>
        <v>1.0102156640181611E-3</v>
      </c>
      <c r="W10" s="414">
        <f t="shared" si="12"/>
        <v>0.98259200696775639</v>
      </c>
      <c r="X10" s="416">
        <f t="shared" si="8"/>
        <v>10.97842000000008</v>
      </c>
      <c r="Y10" s="417">
        <f t="shared" si="9"/>
        <v>19.384425387853003</v>
      </c>
      <c r="Z10" s="418">
        <f t="shared" si="10"/>
        <v>2.6922813038684728E-3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>
        <v>21</v>
      </c>
      <c r="L11" s="409">
        <v>1.0009999999999999</v>
      </c>
      <c r="M11" s="407">
        <f t="shared" si="1"/>
        <v>0.99999999999988987</v>
      </c>
      <c r="N11" s="407">
        <f t="shared" si="2"/>
        <v>2.4999999999998357</v>
      </c>
      <c r="O11" s="410">
        <v>0.2</v>
      </c>
      <c r="P11" s="411">
        <f t="shared" si="3"/>
        <v>2.6999999999998359</v>
      </c>
      <c r="Q11" s="412">
        <f t="shared" si="4"/>
        <v>3.1523246270515532E-3</v>
      </c>
      <c r="R11" s="407">
        <f t="shared" si="5"/>
        <v>21.256684491977321</v>
      </c>
      <c r="S11" s="413">
        <f t="shared" si="6"/>
        <v>1.9900454862639898</v>
      </c>
      <c r="U11" s="414">
        <f t="shared" si="7"/>
        <v>1.0024999999999999</v>
      </c>
      <c r="V11" s="415">
        <f t="shared" si="11"/>
        <v>9.863025843344119E-4</v>
      </c>
      <c r="W11" s="414">
        <f t="shared" si="12"/>
        <v>0.98057308124835096</v>
      </c>
      <c r="X11" s="416">
        <f t="shared" si="8"/>
        <v>11.392700000000033</v>
      </c>
      <c r="Y11" s="417">
        <f t="shared" si="9"/>
        <v>19.798705387852955</v>
      </c>
      <c r="Z11" s="418">
        <f t="shared" si="10"/>
        <v>9.1660673091911824E-4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>
        <v>19</v>
      </c>
      <c r="L12" s="466">
        <v>1.0004999999999999</v>
      </c>
      <c r="M12" s="467">
        <f t="shared" si="1"/>
        <v>0.49999999999994493</v>
      </c>
      <c r="N12" s="467">
        <f t="shared" si="2"/>
        <v>1.9999999999998908</v>
      </c>
      <c r="O12" s="851">
        <v>-0.18</v>
      </c>
      <c r="P12" s="468">
        <f t="shared" si="3"/>
        <v>1.8199999999998908</v>
      </c>
      <c r="Q12" s="469">
        <f t="shared" si="4"/>
        <v>1.6249892416011172E-3</v>
      </c>
      <c r="R12" s="467">
        <f t="shared" si="5"/>
        <v>14.328579916814352</v>
      </c>
      <c r="S12" s="470">
        <f t="shared" si="6"/>
        <v>1.3414380685186904</v>
      </c>
      <c r="U12" s="414">
        <f t="shared" si="7"/>
        <v>1.0019999999999998</v>
      </c>
      <c r="V12" s="415">
        <f t="shared" si="11"/>
        <v>1.0350522178028982E-3</v>
      </c>
      <c r="W12" s="414">
        <f t="shared" si="12"/>
        <v>0.98451581001991773</v>
      </c>
      <c r="X12" s="416">
        <f t="shared" si="8"/>
        <v>11.599840000000103</v>
      </c>
      <c r="Y12" s="417">
        <f t="shared" si="9"/>
        <v>20.005845387853029</v>
      </c>
      <c r="Z12" s="418">
        <f t="shared" si="10"/>
        <v>2.3154913643348414E-4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29</v>
      </c>
      <c r="E14" s="474">
        <f>D14</f>
        <v>29</v>
      </c>
      <c r="F14" s="457">
        <f t="shared" si="13"/>
        <v>9.2978518756011574</v>
      </c>
      <c r="G14" s="475">
        <f t="shared" si="14"/>
        <v>90.702148124398846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51.5</v>
      </c>
      <c r="E15" s="462">
        <f>D15</f>
        <v>51.5</v>
      </c>
      <c r="F15" s="479">
        <f t="shared" si="13"/>
        <v>16.51170246873999</v>
      </c>
      <c r="G15" s="480">
        <f t="shared" si="14"/>
        <v>74.190445655658863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641.29999999999995</v>
      </c>
      <c r="E16" s="485">
        <f t="shared" ref="E16:E24" si="15">D16-C16</f>
        <v>10.899999999999977</v>
      </c>
      <c r="F16" s="457">
        <f t="shared" si="13"/>
        <v>3.494709842898359</v>
      </c>
      <c r="G16" s="463">
        <f t="shared" si="14"/>
        <v>70.695735812760503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552.29999999999995</v>
      </c>
      <c r="E17" s="487">
        <f t="shared" si="15"/>
        <v>33</v>
      </c>
      <c r="F17" s="457">
        <f t="shared" si="13"/>
        <v>10.580314203270284</v>
      </c>
      <c r="G17" s="475">
        <f t="shared" si="14"/>
        <v>60.11542160949022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565.79999999999995</v>
      </c>
      <c r="E18" s="488">
        <f t="shared" si="15"/>
        <v>59.599999999999966</v>
      </c>
      <c r="F18" s="457">
        <f t="shared" si="13"/>
        <v>19.108688682269957</v>
      </c>
      <c r="G18" s="475">
        <f t="shared" si="14"/>
        <v>41.006732927220263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418.5</v>
      </c>
      <c r="E19" s="487">
        <f t="shared" si="15"/>
        <v>34.699999999999989</v>
      </c>
      <c r="F19" s="457">
        <f t="shared" si="13"/>
        <v>11.125360692529657</v>
      </c>
      <c r="G19" s="475">
        <f t="shared" si="14"/>
        <v>29.881372234690605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403.4</v>
      </c>
      <c r="E20" s="488">
        <f t="shared" si="15"/>
        <v>27.199999999999989</v>
      </c>
      <c r="F20" s="457">
        <f t="shared" si="13"/>
        <v>8.7207438281500487</v>
      </c>
      <c r="G20" s="475">
        <f t="shared" si="14"/>
        <v>21.160628406540557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3.9895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345.4</v>
      </c>
      <c r="E21" s="487">
        <f t="shared" si="15"/>
        <v>14.599999999999966</v>
      </c>
      <c r="F21" s="457">
        <f t="shared" si="13"/>
        <v>4.6809874959922961</v>
      </c>
      <c r="G21" s="475">
        <f t="shared" si="14"/>
        <v>16.479640910548262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9.4700000000000006E-2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337.3</v>
      </c>
      <c r="E22" s="488">
        <f t="shared" si="15"/>
        <v>11.199999999999989</v>
      </c>
      <c r="F22" s="457">
        <f t="shared" si="13"/>
        <v>3.5908945174735472</v>
      </c>
      <c r="G22" s="475">
        <f t="shared" si="14"/>
        <v>12.888746393074715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42.127771911298836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313.2</v>
      </c>
      <c r="E23" s="487">
        <f t="shared" si="15"/>
        <v>8.8000000000000114</v>
      </c>
      <c r="F23" s="457">
        <f t="shared" si="13"/>
        <v>2.8214171208720793</v>
      </c>
      <c r="G23" s="490">
        <f t="shared" si="14"/>
        <v>10.067329272202636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317</v>
      </c>
      <c r="E24" s="488">
        <f t="shared" si="15"/>
        <v>2.1999999999999886</v>
      </c>
      <c r="F24" s="492">
        <f t="shared" si="13"/>
        <v>0.70535428021801527</v>
      </c>
      <c r="G24" s="493">
        <f t="shared" si="14"/>
        <v>9.3619749919846207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1.0715073931999998E-4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374.9</v>
      </c>
      <c r="E25" s="496">
        <f>D25-C25+(G6-C26)</f>
        <v>29.199999999999989</v>
      </c>
      <c r="F25" s="457">
        <f t="shared" si="13"/>
        <v>9.36197499198461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290.7</v>
      </c>
      <c r="D26" s="498" t="s">
        <v>19</v>
      </c>
      <c r="E26" s="499">
        <f>SUM(E12:E25)</f>
        <v>311.89999999999986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0.60000000000013642</v>
      </c>
      <c r="F27" s="505">
        <f>IF((E27/G6*100)&gt;1,"Fehler zu groß",(E27/G6*100))</f>
        <v>0.19200000000004366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7.625387565200001E-6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>
        <v>6.02</v>
      </c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>
        <v>20.399999999999999</v>
      </c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>
        <f>100/F35*F34/(F34-1)</f>
        <v>7.8728461081402266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2.6590000000000001E-4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5" zoomScale="85" zoomScaleNormal="85" zoomScalePageLayoutView="90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8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190</v>
      </c>
      <c r="D3" s="385" t="s">
        <v>25</v>
      </c>
      <c r="E3" s="387">
        <v>40104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331.8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28.7</v>
      </c>
      <c r="E14" s="474">
        <f>D14</f>
        <v>28.7</v>
      </c>
      <c r="F14" s="457">
        <f t="shared" si="13"/>
        <v>8.6890705419315779</v>
      </c>
      <c r="G14" s="475">
        <f t="shared" si="14"/>
        <v>91.310929458068415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34.5</v>
      </c>
      <c r="E15" s="462">
        <f>D15</f>
        <v>34.5</v>
      </c>
      <c r="F15" s="479">
        <f t="shared" si="13"/>
        <v>10.445049954586739</v>
      </c>
      <c r="G15" s="480">
        <f t="shared" si="14"/>
        <v>80.865879503481679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636.9</v>
      </c>
      <c r="E16" s="485">
        <f t="shared" ref="E16:E24" si="15">D16-C16</f>
        <v>6.5</v>
      </c>
      <c r="F16" s="457">
        <f t="shared" si="13"/>
        <v>1.9679079624583711</v>
      </c>
      <c r="G16" s="463">
        <f t="shared" si="14"/>
        <v>78.89797154102331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544.79999999999995</v>
      </c>
      <c r="E17" s="487">
        <f t="shared" si="15"/>
        <v>25.5</v>
      </c>
      <c r="F17" s="457">
        <f t="shared" si="13"/>
        <v>7.7202543142597637</v>
      </c>
      <c r="G17" s="475">
        <f t="shared" si="14"/>
        <v>71.177717226763548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544.20000000000005</v>
      </c>
      <c r="E18" s="488">
        <f t="shared" si="15"/>
        <v>38.000000000000057</v>
      </c>
      <c r="F18" s="457">
        <f t="shared" si="13"/>
        <v>11.504692703602801</v>
      </c>
      <c r="G18" s="475">
        <f t="shared" si="14"/>
        <v>59.673024523160748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438.7</v>
      </c>
      <c r="E19" s="487">
        <f t="shared" si="15"/>
        <v>54.899999999999977</v>
      </c>
      <c r="F19" s="457">
        <f t="shared" si="13"/>
        <v>16.621253405994544</v>
      </c>
      <c r="G19" s="475">
        <f t="shared" si="14"/>
        <v>43.051771117166204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428.4</v>
      </c>
      <c r="E20" s="488">
        <f t="shared" si="15"/>
        <v>52.199999999999989</v>
      </c>
      <c r="F20" s="457">
        <f t="shared" si="13"/>
        <v>15.803814713896452</v>
      </c>
      <c r="G20" s="475">
        <f t="shared" si="14"/>
        <v>27.247956403269754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2.0522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357.5</v>
      </c>
      <c r="E21" s="487">
        <f t="shared" si="15"/>
        <v>26.699999999999989</v>
      </c>
      <c r="F21" s="457">
        <f t="shared" si="13"/>
        <v>8.0835603996366903</v>
      </c>
      <c r="G21" s="475">
        <f t="shared" si="14"/>
        <v>19.164396003633065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6.2300000000000001E-2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340.8</v>
      </c>
      <c r="E22" s="488">
        <f t="shared" si="15"/>
        <v>14.699999999999989</v>
      </c>
      <c r="F22" s="457">
        <f t="shared" si="13"/>
        <v>4.4504995458673893</v>
      </c>
      <c r="G22" s="475">
        <f t="shared" si="14"/>
        <v>14.713896457765676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32.940609951845907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314.8</v>
      </c>
      <c r="E23" s="487">
        <f t="shared" si="15"/>
        <v>10.400000000000034</v>
      </c>
      <c r="F23" s="457">
        <f t="shared" si="13"/>
        <v>3.1486527399334037</v>
      </c>
      <c r="G23" s="490">
        <f t="shared" si="14"/>
        <v>11.565243717832272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319.8</v>
      </c>
      <c r="E24" s="488">
        <f t="shared" si="15"/>
        <v>5</v>
      </c>
      <c r="F24" s="492">
        <f t="shared" si="13"/>
        <v>1.5137753557372087</v>
      </c>
      <c r="G24" s="493">
        <f t="shared" si="14"/>
        <v>10.051468362095063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4.6373652919999992E-5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374.4</v>
      </c>
      <c r="E25" s="496">
        <f>D25-C25+(G6-C26)</f>
        <v>33.199999999999989</v>
      </c>
      <c r="F25" s="457">
        <f t="shared" si="13"/>
        <v>10.051468362095061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305.5</v>
      </c>
      <c r="D26" s="498" t="s">
        <v>19</v>
      </c>
      <c r="E26" s="499">
        <f>SUM(E12:E25)</f>
        <v>330.3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1.5</v>
      </c>
      <c r="F27" s="505">
        <f>IF((E27/G6*100)&gt;1,"Fehler zu groß",(E27/G6*100))</f>
        <v>0.45207956600361665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3.3001832612000005E-6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>
        <v>373.1</v>
      </c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1.994E-4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10:L12 L5:L8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zoomScalePageLayoutView="90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8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191</v>
      </c>
      <c r="D3" s="385" t="s">
        <v>25</v>
      </c>
      <c r="E3" s="387">
        <v>40104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336.8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38.9</v>
      </c>
      <c r="E13" s="474">
        <f>D13</f>
        <v>38.9</v>
      </c>
      <c r="F13" s="457">
        <f t="shared" si="13"/>
        <v>11.57049375371802</v>
      </c>
      <c r="G13" s="475">
        <f t="shared" si="14"/>
        <v>88.429506246281974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0</v>
      </c>
      <c r="E14" s="474">
        <f>D14</f>
        <v>0</v>
      </c>
      <c r="F14" s="457">
        <f t="shared" si="13"/>
        <v>0</v>
      </c>
      <c r="G14" s="475">
        <f t="shared" si="14"/>
        <v>88.429506246281974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52.8</v>
      </c>
      <c r="E15" s="462">
        <f>D15</f>
        <v>52.8</v>
      </c>
      <c r="F15" s="479">
        <f t="shared" si="13"/>
        <v>15.704937537180244</v>
      </c>
      <c r="G15" s="480">
        <f t="shared" si="14"/>
        <v>72.724568709101732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641</v>
      </c>
      <c r="E16" s="485">
        <f t="shared" ref="E16:E24" si="15">D16-C16</f>
        <v>10.600000000000023</v>
      </c>
      <c r="F16" s="457">
        <f t="shared" si="13"/>
        <v>3.1528851873884647</v>
      </c>
      <c r="G16" s="463">
        <f t="shared" si="14"/>
        <v>69.571683521713268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563</v>
      </c>
      <c r="E17" s="487">
        <f t="shared" si="15"/>
        <v>43.700000000000045</v>
      </c>
      <c r="F17" s="457">
        <f t="shared" si="13"/>
        <v>12.998215348007147</v>
      </c>
      <c r="G17" s="475">
        <f t="shared" si="14"/>
        <v>56.573468173706118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565.9</v>
      </c>
      <c r="E18" s="488">
        <f t="shared" si="15"/>
        <v>59.699999999999989</v>
      </c>
      <c r="F18" s="457">
        <f t="shared" si="13"/>
        <v>17.757287328970843</v>
      </c>
      <c r="G18" s="475">
        <f t="shared" si="14"/>
        <v>38.816180844735271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421.8</v>
      </c>
      <c r="E19" s="487">
        <f t="shared" si="15"/>
        <v>38</v>
      </c>
      <c r="F19" s="457">
        <f t="shared" si="13"/>
        <v>11.302795954788811</v>
      </c>
      <c r="G19" s="475">
        <f t="shared" si="14"/>
        <v>27.513384889946458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411.6</v>
      </c>
      <c r="E20" s="488">
        <f t="shared" si="15"/>
        <v>35.400000000000034</v>
      </c>
      <c r="F20" s="457">
        <f t="shared" si="13"/>
        <v>10.529446757882219</v>
      </c>
      <c r="G20" s="475">
        <f t="shared" si="14"/>
        <v>16.983938132064239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4.6192000000000002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348.1</v>
      </c>
      <c r="E21" s="487">
        <f t="shared" si="15"/>
        <v>17.300000000000011</v>
      </c>
      <c r="F21" s="457">
        <f t="shared" si="13"/>
        <v>5.1457465794170156</v>
      </c>
      <c r="G21" s="475">
        <f t="shared" si="14"/>
        <v>11.838191552647224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0.28749999999999998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337</v>
      </c>
      <c r="E22" s="488">
        <f t="shared" si="15"/>
        <v>10.899999999999977</v>
      </c>
      <c r="F22" s="457">
        <f t="shared" si="13"/>
        <v>3.2421177870315212</v>
      </c>
      <c r="G22" s="475">
        <f t="shared" si="14"/>
        <v>8.5960737656157029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16.066782608695654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309.5</v>
      </c>
      <c r="E23" s="487">
        <f t="shared" si="15"/>
        <v>5.1000000000000227</v>
      </c>
      <c r="F23" s="457">
        <f t="shared" si="13"/>
        <v>1.5169541939321896</v>
      </c>
      <c r="G23" s="490">
        <f t="shared" si="14"/>
        <v>7.0791195716835134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315.10000000000002</v>
      </c>
      <c r="E24" s="488">
        <f t="shared" si="15"/>
        <v>0.30000000000001137</v>
      </c>
      <c r="F24" s="492">
        <f t="shared" si="13"/>
        <v>8.9232599643072952E-2</v>
      </c>
      <c r="G24" s="493">
        <f t="shared" si="14"/>
        <v>6.9898869720404404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9.8757687499999953E-4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367.5</v>
      </c>
      <c r="E25" s="496">
        <f>D25-C25+(G6-C26)</f>
        <v>23.5</v>
      </c>
      <c r="F25" s="457">
        <f t="shared" si="13"/>
        <v>6.9898869720404502</v>
      </c>
      <c r="G25" s="463">
        <f t="shared" si="14"/>
        <v>-9.7699626167013776E-15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313.3</v>
      </c>
      <c r="D26" s="498" t="s">
        <v>19</v>
      </c>
      <c r="E26" s="499">
        <f>SUM(E12:E25)</f>
        <v>336.2000000000001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0.59999999999990905</v>
      </c>
      <c r="F27" s="505">
        <f>IF((E27/G6*100)&gt;1,"Fehler zu groß",(E27/G6*100))</f>
        <v>0.17814726840852405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7.0280956249999985E-5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OK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334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7.0870000000000004E-4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10:L12 L5:L8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5" zoomScale="85" zoomScaleNormal="85" zoomScalePageLayoutView="90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8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192</v>
      </c>
      <c r="D3" s="385" t="s">
        <v>25</v>
      </c>
      <c r="E3" s="387">
        <v>40104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>
        <v>192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30</v>
      </c>
      <c r="D6" s="433"/>
      <c r="E6" s="401" t="s">
        <v>41</v>
      </c>
      <c r="F6" s="434"/>
      <c r="G6" s="435">
        <v>395.5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35.299999999999997</v>
      </c>
      <c r="E13" s="474">
        <f>D13</f>
        <v>35.299999999999997</v>
      </c>
      <c r="F13" s="457">
        <f t="shared" si="13"/>
        <v>8.9299266379964575</v>
      </c>
      <c r="G13" s="475">
        <f t="shared" si="14"/>
        <v>91.070073362003541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26.8</v>
      </c>
      <c r="E14" s="474">
        <f>D14</f>
        <v>26.8</v>
      </c>
      <c r="F14" s="457">
        <f t="shared" si="13"/>
        <v>6.7796610169491522</v>
      </c>
      <c r="G14" s="475">
        <f t="shared" si="14"/>
        <v>84.290412345054392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43.1</v>
      </c>
      <c r="E15" s="462">
        <f>D15</f>
        <v>43.1</v>
      </c>
      <c r="F15" s="479">
        <f t="shared" si="13"/>
        <v>10.90311156083987</v>
      </c>
      <c r="G15" s="480">
        <f t="shared" si="14"/>
        <v>73.387300784214517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649.5</v>
      </c>
      <c r="E16" s="485">
        <f t="shared" ref="E16:E24" si="15">D16-C16</f>
        <v>19.100000000000023</v>
      </c>
      <c r="F16" s="457">
        <f t="shared" si="13"/>
        <v>4.8317733367063047</v>
      </c>
      <c r="G16" s="463">
        <f t="shared" si="14"/>
        <v>68.555527447508211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569.4</v>
      </c>
      <c r="E17" s="487">
        <f t="shared" si="15"/>
        <v>50.100000000000023</v>
      </c>
      <c r="F17" s="457">
        <f t="shared" si="13"/>
        <v>12.673918542878832</v>
      </c>
      <c r="G17" s="475">
        <f t="shared" si="14"/>
        <v>55.881608904629381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552.79999999999995</v>
      </c>
      <c r="E18" s="488">
        <f t="shared" si="15"/>
        <v>46.599999999999966</v>
      </c>
      <c r="F18" s="457">
        <f t="shared" si="13"/>
        <v>11.788515051859338</v>
      </c>
      <c r="G18" s="475">
        <f t="shared" si="14"/>
        <v>44.093093852770039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427.5</v>
      </c>
      <c r="E19" s="487">
        <f t="shared" si="15"/>
        <v>43.699999999999989</v>
      </c>
      <c r="F19" s="457">
        <f t="shared" si="13"/>
        <v>11.054895016443204</v>
      </c>
      <c r="G19" s="475">
        <f t="shared" si="14"/>
        <v>33.038198836326835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415.1</v>
      </c>
      <c r="E20" s="488">
        <f t="shared" si="15"/>
        <v>38.900000000000034</v>
      </c>
      <c r="F20" s="457">
        <f t="shared" si="13"/>
        <v>9.8406273716165025</v>
      </c>
      <c r="G20" s="475">
        <f t="shared" si="14"/>
        <v>23.197571464710332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4.7424999999999997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349.5</v>
      </c>
      <c r="E21" s="487">
        <f t="shared" si="15"/>
        <v>18.699999999999989</v>
      </c>
      <c r="F21" s="457">
        <f t="shared" si="13"/>
        <v>4.7305843663040701</v>
      </c>
      <c r="G21" s="475">
        <f t="shared" si="14"/>
        <v>18.466987098406264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8.3199999999999996E-2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341.5</v>
      </c>
      <c r="E22" s="488">
        <f t="shared" si="15"/>
        <v>15.399999999999977</v>
      </c>
      <c r="F22" s="457">
        <f t="shared" si="13"/>
        <v>3.8957753604857008</v>
      </c>
      <c r="G22" s="475">
        <f t="shared" si="14"/>
        <v>14.571211737920564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57.00120192307692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320.60000000000002</v>
      </c>
      <c r="E23" s="487">
        <f t="shared" si="15"/>
        <v>16.200000000000045</v>
      </c>
      <c r="F23" s="457">
        <f t="shared" si="13"/>
        <v>4.0981533012901705</v>
      </c>
      <c r="G23" s="490">
        <f t="shared" si="14"/>
        <v>10.473058436630392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319.2</v>
      </c>
      <c r="E24" s="488">
        <f t="shared" si="15"/>
        <v>4.3999999999999773</v>
      </c>
      <c r="F24" s="492">
        <f t="shared" si="13"/>
        <v>1.1130786744244818</v>
      </c>
      <c r="G24" s="493">
        <f t="shared" si="14"/>
        <v>9.35997976220591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8.2706923519999979E-5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384.6</v>
      </c>
      <c r="E25" s="496">
        <f>D25-C25+(G6-C26)</f>
        <v>37</v>
      </c>
      <c r="F25" s="457">
        <f t="shared" si="13"/>
        <v>9.3599797622059189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375.6</v>
      </c>
      <c r="D26" s="498" t="s">
        <v>19</v>
      </c>
      <c r="E26" s="499">
        <f>SUM(E12:E25)</f>
        <v>395.3</v>
      </c>
      <c r="F26" s="500">
        <f>SUM(F12:F25)</f>
        <v>100.00000000000001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0.19999999999998863</v>
      </c>
      <c r="F27" s="505">
        <f>IF((E27/G6*100)&gt;1,"Fehler zu groß",(E27/G6*100))</f>
        <v>5.0568900126419375E-2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5.8858422272000002E-6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2.432E-4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10:L12 L5:L8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193</v>
      </c>
      <c r="D3" s="385" t="s">
        <v>25</v>
      </c>
      <c r="E3" s="387">
        <v>40076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165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136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423.2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44.5</v>
      </c>
      <c r="E14" s="474">
        <f>D14</f>
        <v>44.5</v>
      </c>
      <c r="F14" s="457">
        <f t="shared" si="13"/>
        <v>10.517608130465611</v>
      </c>
      <c r="G14" s="475">
        <f t="shared" si="14"/>
        <v>89.482391869534382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75</v>
      </c>
      <c r="E15" s="462">
        <f>D15</f>
        <v>75</v>
      </c>
      <c r="F15" s="479">
        <f t="shared" si="13"/>
        <v>17.726305837863386</v>
      </c>
      <c r="G15" s="480">
        <f t="shared" si="14"/>
        <v>71.756086031671003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655.9</v>
      </c>
      <c r="E16" s="485">
        <f t="shared" ref="E16:E24" si="15">D16-C16</f>
        <v>25.5</v>
      </c>
      <c r="F16" s="457">
        <f t="shared" si="13"/>
        <v>6.0269439848735518</v>
      </c>
      <c r="G16" s="463">
        <f t="shared" si="14"/>
        <v>65.729142046797449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582.29999999999995</v>
      </c>
      <c r="E17" s="487">
        <f t="shared" si="15"/>
        <v>63</v>
      </c>
      <c r="F17" s="457">
        <f t="shared" si="13"/>
        <v>14.890096903805247</v>
      </c>
      <c r="G17" s="475">
        <f t="shared" si="14"/>
        <v>50.839045142992205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564.1</v>
      </c>
      <c r="E18" s="488">
        <f t="shared" si="15"/>
        <v>57.900000000000034</v>
      </c>
      <c r="F18" s="457">
        <f t="shared" si="13"/>
        <v>13.684708106830543</v>
      </c>
      <c r="G18" s="475">
        <f t="shared" si="14"/>
        <v>37.154337036161664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419.6</v>
      </c>
      <c r="E19" s="487">
        <f t="shared" si="15"/>
        <v>35.800000000000011</v>
      </c>
      <c r="F19" s="457">
        <f t="shared" si="13"/>
        <v>8.4613566532734588</v>
      </c>
      <c r="G19" s="475">
        <f t="shared" si="14"/>
        <v>28.692980382888205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406.1</v>
      </c>
      <c r="E20" s="488">
        <f t="shared" si="15"/>
        <v>29.900000000000034</v>
      </c>
      <c r="F20" s="457">
        <f t="shared" si="13"/>
        <v>7.0668872606948794</v>
      </c>
      <c r="G20" s="475">
        <f t="shared" si="14"/>
        <v>21.626093122193325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5.4047000000000001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350.3</v>
      </c>
      <c r="E21" s="487">
        <f t="shared" si="15"/>
        <v>19.5</v>
      </c>
      <c r="F21" s="457">
        <f t="shared" si="13"/>
        <v>4.6088395178444808</v>
      </c>
      <c r="G21" s="475">
        <f t="shared" si="14"/>
        <v>17.017253604348845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7.6600000000000001E-2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340.9</v>
      </c>
      <c r="E22" s="488">
        <f t="shared" si="15"/>
        <v>14.799999999999955</v>
      </c>
      <c r="F22" s="457">
        <f t="shared" si="13"/>
        <v>3.4979910186716978</v>
      </c>
      <c r="G22" s="475">
        <f t="shared" si="14"/>
        <v>13.519262585677147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70.557441253263704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314.3</v>
      </c>
      <c r="E23" s="487">
        <f t="shared" si="15"/>
        <v>9.9000000000000341</v>
      </c>
      <c r="F23" s="457">
        <f t="shared" si="13"/>
        <v>2.3398723705979751</v>
      </c>
      <c r="G23" s="490">
        <f t="shared" si="14"/>
        <v>11.179390215079172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323</v>
      </c>
      <c r="E24" s="488">
        <f t="shared" si="15"/>
        <v>8.1999999999999886</v>
      </c>
      <c r="F24" s="492">
        <f t="shared" si="13"/>
        <v>1.9380761049397277</v>
      </c>
      <c r="G24" s="493">
        <f t="shared" si="14"/>
        <v>9.2413141101394451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7.0105606879999983E-5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378.5</v>
      </c>
      <c r="E25" s="496">
        <f>D25-C25+(G6-C26)</f>
        <v>39.099999999999966</v>
      </c>
      <c r="F25" s="457">
        <f t="shared" si="13"/>
        <v>9.241314110139438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395.1</v>
      </c>
      <c r="D26" s="498" t="s">
        <v>19</v>
      </c>
      <c r="E26" s="499">
        <f>SUM(E12:E25)</f>
        <v>423.1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9.9999999999965894E-2</v>
      </c>
      <c r="F27" s="505">
        <f>IF((E27/G6*100)&gt;1,"Fehler zu groß",(E27/G6*100))</f>
        <v>2.3629489603016515E-2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4.9890689167999994E-6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2.6229999999999998E-4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U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194</v>
      </c>
      <c r="D3" s="385" t="s">
        <v>25</v>
      </c>
      <c r="E3" s="387">
        <v>40106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/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341.3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0</v>
      </c>
      <c r="E13" s="474">
        <f>D13</f>
        <v>0</v>
      </c>
      <c r="F13" s="457">
        <f t="shared" si="13"/>
        <v>0</v>
      </c>
      <c r="G13" s="475">
        <f t="shared" si="14"/>
        <v>100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39.4</v>
      </c>
      <c r="E14" s="474">
        <f>D14</f>
        <v>39.4</v>
      </c>
      <c r="F14" s="457">
        <f t="shared" si="13"/>
        <v>11.547479484173504</v>
      </c>
      <c r="G14" s="475">
        <f t="shared" si="14"/>
        <v>88.452520515826492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89</v>
      </c>
      <c r="E15" s="462">
        <f>D15</f>
        <v>89</v>
      </c>
      <c r="F15" s="479">
        <f t="shared" si="13"/>
        <v>26.084407971864003</v>
      </c>
      <c r="G15" s="480">
        <f t="shared" si="14"/>
        <v>62.368112543962489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657.3</v>
      </c>
      <c r="E16" s="485">
        <f t="shared" ref="E16:E24" si="15">D16-C16</f>
        <v>26.899999999999977</v>
      </c>
      <c r="F16" s="457">
        <f t="shared" si="13"/>
        <v>7.8839390386869797</v>
      </c>
      <c r="G16" s="463">
        <f t="shared" si="14"/>
        <v>54.484173505275507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578.20000000000005</v>
      </c>
      <c r="E17" s="487">
        <f t="shared" si="15"/>
        <v>58.900000000000091</v>
      </c>
      <c r="F17" s="457">
        <f t="shared" si="13"/>
        <v>17.262602579132498</v>
      </c>
      <c r="G17" s="475">
        <f t="shared" si="14"/>
        <v>37.221570926143009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550.4</v>
      </c>
      <c r="E18" s="488">
        <f t="shared" si="15"/>
        <v>44.199999999999989</v>
      </c>
      <c r="F18" s="457">
        <f t="shared" si="13"/>
        <v>12.954279015240322</v>
      </c>
      <c r="G18" s="475">
        <f t="shared" si="14"/>
        <v>24.267291910902685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404.3</v>
      </c>
      <c r="E19" s="487">
        <f t="shared" si="15"/>
        <v>20.5</v>
      </c>
      <c r="F19" s="457">
        <f t="shared" si="13"/>
        <v>6.008206330597889</v>
      </c>
      <c r="G19" s="475">
        <f t="shared" si="14"/>
        <v>18.259085580304795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392.2</v>
      </c>
      <c r="E20" s="488">
        <f t="shared" si="15"/>
        <v>16</v>
      </c>
      <c r="F20" s="457">
        <f t="shared" si="13"/>
        <v>4.6893317702227426</v>
      </c>
      <c r="G20" s="475">
        <f t="shared" si="14"/>
        <v>13.569753810082052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8.8758999999999997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339.2</v>
      </c>
      <c r="E21" s="487">
        <f t="shared" si="15"/>
        <v>8.3999999999999773</v>
      </c>
      <c r="F21" s="457">
        <f t="shared" si="13"/>
        <v>2.4618991793669331</v>
      </c>
      <c r="G21" s="475">
        <f t="shared" si="14"/>
        <v>11.107854630715119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0.28889999999999999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332.3</v>
      </c>
      <c r="E22" s="488">
        <f t="shared" si="15"/>
        <v>6.1999999999999886</v>
      </c>
      <c r="F22" s="457">
        <f t="shared" si="13"/>
        <v>1.8171160609613095</v>
      </c>
      <c r="G22" s="475">
        <f t="shared" si="14"/>
        <v>9.2907385697538096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30.723087573554864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309.39999999999998</v>
      </c>
      <c r="E23" s="487">
        <f t="shared" si="15"/>
        <v>5</v>
      </c>
      <c r="F23" s="457">
        <f t="shared" si="13"/>
        <v>1.4654161781946071</v>
      </c>
      <c r="G23" s="490">
        <f t="shared" si="14"/>
        <v>7.8253223915592027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317.10000000000002</v>
      </c>
      <c r="E24" s="488">
        <f t="shared" si="15"/>
        <v>2.3000000000000114</v>
      </c>
      <c r="F24" s="492">
        <f t="shared" si="13"/>
        <v>0.67409144196952264</v>
      </c>
      <c r="G24" s="493">
        <f t="shared" si="14"/>
        <v>7.1512309495896798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9.9721843307999983E-4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372.4</v>
      </c>
      <c r="E25" s="496">
        <f>D25-C25+(G6-C26)</f>
        <v>24.399999999999977</v>
      </c>
      <c r="F25" s="457">
        <f t="shared" si="13"/>
        <v>7.1512309495896762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321.8</v>
      </c>
      <c r="D26" s="498" t="s">
        <v>19</v>
      </c>
      <c r="E26" s="499">
        <f>SUM(E12:E25)</f>
        <v>341.20000000000005</v>
      </c>
      <c r="F26" s="500">
        <f>SUM(F12:F25)</f>
        <v>99.999999999999972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9.9999999999965894E-2</v>
      </c>
      <c r="F27" s="505">
        <f>IF((E27/G6*100)&gt;1,"Fehler zu groß",(E27/G6*100))</f>
        <v>2.9299736302363284E-2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7.0967098198799989E-5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4.9169999999999997E-4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P1:P3"/>
    <mergeCell ref="R1:R3"/>
    <mergeCell ref="S1:S3"/>
    <mergeCell ref="AD1:AD2"/>
    <mergeCell ref="AE1:AE2"/>
    <mergeCell ref="X1:X2"/>
    <mergeCell ref="Z1:Z2"/>
    <mergeCell ref="AC1:AC2"/>
    <mergeCell ref="AB1:AB2"/>
    <mergeCell ref="O1:O3"/>
    <mergeCell ref="A36:E36"/>
    <mergeCell ref="A16:A24"/>
    <mergeCell ref="A29:G29"/>
    <mergeCell ref="Q1:Q2"/>
    <mergeCell ref="G8:G9"/>
    <mergeCell ref="A26:B26"/>
    <mergeCell ref="A1:G1"/>
    <mergeCell ref="E8:F8"/>
    <mergeCell ref="A11:A15"/>
    <mergeCell ref="A27:B27"/>
    <mergeCell ref="I1:J2"/>
    <mergeCell ref="K1:K3"/>
    <mergeCell ref="M1:M3"/>
    <mergeCell ref="N1:N3"/>
    <mergeCell ref="L1:L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36"/>
  <sheetViews>
    <sheetView showWhiteSpace="0" topLeftCell="S7" zoomScale="85" zoomScaleNormal="85" workbookViewId="0">
      <selection activeCell="W37" sqref="W37"/>
    </sheetView>
  </sheetViews>
  <sheetFormatPr baseColWidth="10" defaultRowHeight="12.75" x14ac:dyDescent="0.2"/>
  <cols>
    <col min="1" max="1" width="4.42578125" style="372" customWidth="1"/>
    <col min="2" max="2" width="5.7109375" style="372" customWidth="1"/>
    <col min="3" max="3" width="11.5703125" style="372" customWidth="1"/>
    <col min="4" max="4" width="15.42578125" style="372" customWidth="1"/>
    <col min="5" max="5" width="12.7109375" style="372" customWidth="1"/>
    <col min="6" max="6" width="16.28515625" style="372" customWidth="1"/>
    <col min="7" max="7" width="11" style="372" customWidth="1"/>
    <col min="8" max="8" width="2.140625" style="372" customWidth="1"/>
    <col min="9" max="9" width="6.140625" style="372" customWidth="1"/>
    <col min="10" max="10" width="6.42578125" style="372" customWidth="1"/>
    <col min="11" max="11" width="8.7109375" style="372" customWidth="1"/>
    <col min="12" max="12" width="11.28515625" style="372" customWidth="1"/>
    <col min="13" max="13" width="10.85546875" style="372" customWidth="1"/>
    <col min="14" max="14" width="12.42578125" style="372" customWidth="1"/>
    <col min="15" max="15" width="10.42578125" style="372" customWidth="1"/>
    <col min="16" max="16" width="12.85546875" style="372" customWidth="1"/>
    <col min="17" max="17" width="15.28515625" style="372" customWidth="1"/>
    <col min="18" max="18" width="11.7109375" style="372" customWidth="1"/>
    <col min="19" max="19" width="20.5703125" style="372" customWidth="1"/>
    <col min="20" max="20" width="5" style="372" customWidth="1"/>
    <col min="21" max="21" width="12.140625" style="372" customWidth="1"/>
    <col min="22" max="22" width="11.42578125" style="372"/>
    <col min="23" max="23" width="15.5703125" style="372" customWidth="1"/>
    <col min="24" max="24" width="11.42578125" style="372"/>
    <col min="25" max="25" width="18.28515625" style="372" customWidth="1"/>
    <col min="26" max="26" width="14.140625" style="372" customWidth="1"/>
    <col min="27" max="27" width="3.140625" style="372" customWidth="1"/>
    <col min="28" max="28" width="15.85546875" style="372" customWidth="1"/>
    <col min="29" max="29" width="14" style="372" customWidth="1"/>
    <col min="30" max="16384" width="11.42578125" style="372"/>
  </cols>
  <sheetData>
    <row r="1" spans="1:31" ht="20.25" customHeight="1" x14ac:dyDescent="0.3">
      <c r="A1" s="938" t="s">
        <v>2</v>
      </c>
      <c r="B1" s="938"/>
      <c r="C1" s="938"/>
      <c r="D1" s="938"/>
      <c r="E1" s="938"/>
      <c r="F1" s="938"/>
      <c r="G1" s="938"/>
      <c r="H1" s="371"/>
      <c r="I1" s="939" t="s">
        <v>70</v>
      </c>
      <c r="J1" s="940"/>
      <c r="K1" s="930" t="s">
        <v>30</v>
      </c>
      <c r="L1" s="930" t="s">
        <v>74</v>
      </c>
      <c r="M1" s="930" t="s">
        <v>29</v>
      </c>
      <c r="N1" s="930" t="s">
        <v>32</v>
      </c>
      <c r="O1" s="927" t="s">
        <v>75</v>
      </c>
      <c r="P1" s="927" t="s">
        <v>76</v>
      </c>
      <c r="Q1" s="930" t="s">
        <v>77</v>
      </c>
      <c r="R1" s="930" t="s">
        <v>39</v>
      </c>
      <c r="S1" s="933" t="s">
        <v>31</v>
      </c>
      <c r="U1" s="373" t="s">
        <v>49</v>
      </c>
      <c r="V1" s="374" t="s">
        <v>48</v>
      </c>
      <c r="W1" s="375" t="s">
        <v>65</v>
      </c>
      <c r="X1" s="936" t="s">
        <v>63</v>
      </c>
      <c r="Y1" s="376" t="s">
        <v>52</v>
      </c>
      <c r="Z1" s="946" t="s">
        <v>62</v>
      </c>
      <c r="AA1" s="377"/>
      <c r="AB1" s="946" t="s">
        <v>66</v>
      </c>
      <c r="AC1" s="946" t="s">
        <v>60</v>
      </c>
      <c r="AD1" s="946" t="s">
        <v>68</v>
      </c>
      <c r="AE1" s="921" t="s">
        <v>69</v>
      </c>
    </row>
    <row r="2" spans="1:31" ht="18.75" customHeight="1" x14ac:dyDescent="0.35">
      <c r="B2" s="371"/>
      <c r="C2" s="371"/>
      <c r="D2" s="371"/>
      <c r="E2" s="371"/>
      <c r="F2" s="378"/>
      <c r="G2" s="371"/>
      <c r="H2" s="371"/>
      <c r="I2" s="941"/>
      <c r="J2" s="942"/>
      <c r="K2" s="931"/>
      <c r="L2" s="932"/>
      <c r="M2" s="931"/>
      <c r="N2" s="931"/>
      <c r="O2" s="928"/>
      <c r="P2" s="928"/>
      <c r="Q2" s="931"/>
      <c r="R2" s="931"/>
      <c r="S2" s="934"/>
      <c r="U2" s="379" t="s">
        <v>53</v>
      </c>
      <c r="V2" s="380" t="s">
        <v>47</v>
      </c>
      <c r="W2" s="381" t="s">
        <v>50</v>
      </c>
      <c r="X2" s="937"/>
      <c r="Y2" s="382" t="s">
        <v>67</v>
      </c>
      <c r="Z2" s="947"/>
      <c r="AA2" s="383"/>
      <c r="AB2" s="947"/>
      <c r="AC2" s="947"/>
      <c r="AD2" s="947"/>
      <c r="AE2" s="922"/>
    </row>
    <row r="3" spans="1:31" ht="20.100000000000001" customHeight="1" x14ac:dyDescent="0.35">
      <c r="A3" s="384" t="s">
        <v>23</v>
      </c>
      <c r="B3" s="385"/>
      <c r="C3" s="386">
        <v>195</v>
      </c>
      <c r="D3" s="385" t="s">
        <v>25</v>
      </c>
      <c r="E3" s="387">
        <v>40108</v>
      </c>
      <c r="F3" s="388" t="s">
        <v>42</v>
      </c>
      <c r="G3" s="389"/>
      <c r="H3" s="371"/>
      <c r="I3" s="390" t="s">
        <v>72</v>
      </c>
      <c r="J3" s="391" t="s">
        <v>71</v>
      </c>
      <c r="K3" s="932"/>
      <c r="L3" s="392" t="s">
        <v>79</v>
      </c>
      <c r="M3" s="932"/>
      <c r="N3" s="932"/>
      <c r="O3" s="929"/>
      <c r="P3" s="929"/>
      <c r="Q3" s="857" t="s">
        <v>78</v>
      </c>
      <c r="R3" s="932"/>
      <c r="S3" s="935"/>
      <c r="U3" s="394" t="s">
        <v>61</v>
      </c>
      <c r="V3" s="395" t="s">
        <v>57</v>
      </c>
      <c r="W3" s="396" t="s">
        <v>53</v>
      </c>
      <c r="X3" s="397" t="s">
        <v>64</v>
      </c>
      <c r="Y3" s="396" t="s">
        <v>54</v>
      </c>
      <c r="Z3" s="396" t="s">
        <v>73</v>
      </c>
      <c r="AA3" s="398"/>
      <c r="AB3" s="399" t="s">
        <v>51</v>
      </c>
      <c r="AC3" s="399" t="s">
        <v>47</v>
      </c>
      <c r="AD3" s="400" t="s">
        <v>55</v>
      </c>
      <c r="AE3" s="400" t="s">
        <v>56</v>
      </c>
    </row>
    <row r="4" spans="1:31" ht="20.100000000000001" customHeight="1" x14ac:dyDescent="0.2">
      <c r="A4" s="401" t="s">
        <v>26</v>
      </c>
      <c r="B4" s="401"/>
      <c r="C4" s="402" t="s">
        <v>89</v>
      </c>
      <c r="D4" s="403" t="s">
        <v>24</v>
      </c>
      <c r="E4" s="402" t="s">
        <v>90</v>
      </c>
      <c r="F4" s="404"/>
      <c r="G4" s="405"/>
      <c r="H4" s="371"/>
      <c r="I4" s="406">
        <f t="shared" ref="I4:I12" si="0">J4*60</f>
        <v>30</v>
      </c>
      <c r="J4" s="407">
        <v>0.5</v>
      </c>
      <c r="K4" s="853"/>
      <c r="L4" s="409"/>
      <c r="M4" s="407">
        <f t="shared" ref="M4:M12" si="1">(L4-1)*1000</f>
        <v>-1000</v>
      </c>
      <c r="N4" s="407">
        <f t="shared" ref="N4:N12" si="2">M4+$G$33</f>
        <v>-998.5</v>
      </c>
      <c r="O4" s="410"/>
      <c r="P4" s="411">
        <f t="shared" ref="P4:P12" si="3">N4+O4</f>
        <v>-998.5</v>
      </c>
      <c r="Q4" s="412" t="e">
        <f t="shared" ref="Q4:Q12" si="4">((18.35*V4/($F$34-W4))*Z4)^0.5</f>
        <v>#DIV/0!</v>
      </c>
      <c r="R4" s="407" t="e">
        <f t="shared" ref="R4:R12" si="5">$F$36*P4</f>
        <v>#DIV/0!</v>
      </c>
      <c r="S4" s="413" t="e">
        <f t="shared" ref="S4:S12" si="6">$G$24/100*R4</f>
        <v>#DIV/0!</v>
      </c>
      <c r="U4" s="414">
        <f t="shared" ref="U4:U12" si="7">1+0.001*N4</f>
        <v>1.4999999999999458E-3</v>
      </c>
      <c r="V4" s="415">
        <f>0.00178/(1+0.0337*K5+0.00022*K5^2)</f>
        <v>1.7799999999999999E-3</v>
      </c>
      <c r="W4" s="414">
        <f>1/(1+((2.31*K5-2)^2-182)*0.00001)</f>
        <v>1.0017831740498087</v>
      </c>
      <c r="X4" s="416">
        <f t="shared" ref="X4:X12" si="8">4142.8*(1.03-U4)/10</f>
        <v>426.08698000000015</v>
      </c>
      <c r="Y4" s="417" t="e">
        <f t="shared" ref="Y4:Y12" si="9">X4+$AB$5+0.5*($AC$5-$AD$5/$AE$5)</f>
        <v>#DIV/0!</v>
      </c>
      <c r="Z4" s="418" t="e">
        <f t="shared" ref="Z4:Z12" si="10">Y4/I4</f>
        <v>#DIV/0!</v>
      </c>
      <c r="AA4" s="398"/>
      <c r="AB4" s="419" t="s">
        <v>54</v>
      </c>
      <c r="AC4" s="419" t="s">
        <v>54</v>
      </c>
      <c r="AD4" s="420" t="s">
        <v>58</v>
      </c>
      <c r="AE4" s="420" t="s">
        <v>59</v>
      </c>
    </row>
    <row r="5" spans="1:31" ht="20.100000000000001" customHeight="1" x14ac:dyDescent="0.2">
      <c r="A5" s="401" t="s">
        <v>27</v>
      </c>
      <c r="B5" s="401"/>
      <c r="C5" s="421" t="s">
        <v>367</v>
      </c>
      <c r="D5" s="422"/>
      <c r="E5" s="423" t="s">
        <v>4</v>
      </c>
      <c r="F5" s="424"/>
      <c r="G5" s="425"/>
      <c r="I5" s="406">
        <f t="shared" si="0"/>
        <v>60</v>
      </c>
      <c r="J5" s="426">
        <v>1</v>
      </c>
      <c r="K5" s="853"/>
      <c r="L5" s="409"/>
      <c r="M5" s="407">
        <f t="shared" si="1"/>
        <v>-1000</v>
      </c>
      <c r="N5" s="407">
        <f t="shared" si="2"/>
        <v>-998.5</v>
      </c>
      <c r="O5" s="410"/>
      <c r="P5" s="411">
        <f t="shared" si="3"/>
        <v>-998.5</v>
      </c>
      <c r="Q5" s="412" t="e">
        <f t="shared" si="4"/>
        <v>#DIV/0!</v>
      </c>
      <c r="R5" s="407" t="e">
        <f t="shared" si="5"/>
        <v>#DIV/0!</v>
      </c>
      <c r="S5" s="413" t="e">
        <f t="shared" si="6"/>
        <v>#DIV/0!</v>
      </c>
      <c r="U5" s="414">
        <f t="shared" si="7"/>
        <v>1.4999999999999458E-3</v>
      </c>
      <c r="V5" s="415">
        <f t="shared" ref="V5:V12" si="11">0.00178/(1+0.0337*K5+0.00022*K5^2)</f>
        <v>1.7799999999999999E-3</v>
      </c>
      <c r="W5" s="414">
        <f t="shared" ref="W5:W12" si="12">1/(1+((2.31*K5-2)^2-182)*0.00001)</f>
        <v>1.0017831740498087</v>
      </c>
      <c r="X5" s="416">
        <f t="shared" si="8"/>
        <v>426.08698000000015</v>
      </c>
      <c r="Y5" s="417" t="e">
        <f t="shared" si="9"/>
        <v>#DIV/0!</v>
      </c>
      <c r="Z5" s="418" t="e">
        <f t="shared" si="10"/>
        <v>#DIV/0!</v>
      </c>
      <c r="AA5" s="427"/>
      <c r="AB5" s="428">
        <v>1.1100000000000001</v>
      </c>
      <c r="AC5" s="429">
        <v>16.7</v>
      </c>
      <c r="AD5" s="429">
        <v>60</v>
      </c>
      <c r="AE5" s="430">
        <f>PI()/4*$F$32^2</f>
        <v>0</v>
      </c>
    </row>
    <row r="6" spans="1:31" ht="20.100000000000001" customHeight="1" x14ac:dyDescent="0.35">
      <c r="A6" s="431" t="s">
        <v>28</v>
      </c>
      <c r="B6" s="432"/>
      <c r="C6" s="421">
        <v>20</v>
      </c>
      <c r="D6" s="433"/>
      <c r="E6" s="401" t="s">
        <v>41</v>
      </c>
      <c r="F6" s="434"/>
      <c r="G6" s="435">
        <v>272.10000000000002</v>
      </c>
      <c r="I6" s="406">
        <f t="shared" si="0"/>
        <v>120</v>
      </c>
      <c r="J6" s="426">
        <v>2</v>
      </c>
      <c r="K6" s="853"/>
      <c r="L6" s="409"/>
      <c r="M6" s="407">
        <f t="shared" si="1"/>
        <v>-1000</v>
      </c>
      <c r="N6" s="407">
        <f t="shared" si="2"/>
        <v>-998.5</v>
      </c>
      <c r="O6" s="410"/>
      <c r="P6" s="411">
        <f t="shared" si="3"/>
        <v>-998.5</v>
      </c>
      <c r="Q6" s="412" t="e">
        <f t="shared" si="4"/>
        <v>#DIV/0!</v>
      </c>
      <c r="R6" s="407" t="e">
        <f t="shared" si="5"/>
        <v>#DIV/0!</v>
      </c>
      <c r="S6" s="413" t="e">
        <f t="shared" si="6"/>
        <v>#DIV/0!</v>
      </c>
      <c r="U6" s="414">
        <f t="shared" si="7"/>
        <v>1.4999999999999458E-3</v>
      </c>
      <c r="V6" s="415">
        <f t="shared" si="11"/>
        <v>1.7799999999999999E-3</v>
      </c>
      <c r="W6" s="414">
        <f t="shared" si="12"/>
        <v>1.0017831740498087</v>
      </c>
      <c r="X6" s="416">
        <f t="shared" si="8"/>
        <v>426.08698000000015</v>
      </c>
      <c r="Y6" s="417" t="e">
        <f t="shared" si="9"/>
        <v>#DIV/0!</v>
      </c>
      <c r="Z6" s="418" t="e">
        <f t="shared" si="10"/>
        <v>#DIV/0!</v>
      </c>
      <c r="AA6" s="427"/>
    </row>
    <row r="7" spans="1:31" ht="20.100000000000001" customHeight="1" thickBot="1" x14ac:dyDescent="0.25">
      <c r="A7" s="436"/>
      <c r="B7" s="436"/>
      <c r="C7" s="436"/>
      <c r="D7" s="437"/>
      <c r="E7" s="437"/>
      <c r="F7" s="437"/>
      <c r="G7" s="438"/>
      <c r="I7" s="406">
        <f t="shared" si="0"/>
        <v>300</v>
      </c>
      <c r="J7" s="426">
        <v>5</v>
      </c>
      <c r="K7" s="853"/>
      <c r="L7" s="409"/>
      <c r="M7" s="407">
        <f t="shared" si="1"/>
        <v>-1000</v>
      </c>
      <c r="N7" s="407">
        <f t="shared" si="2"/>
        <v>-998.5</v>
      </c>
      <c r="O7" s="410"/>
      <c r="P7" s="411">
        <f t="shared" si="3"/>
        <v>-998.5</v>
      </c>
      <c r="Q7" s="412" t="e">
        <f t="shared" si="4"/>
        <v>#DIV/0!</v>
      </c>
      <c r="R7" s="407" t="e">
        <f t="shared" si="5"/>
        <v>#DIV/0!</v>
      </c>
      <c r="S7" s="413" t="e">
        <f t="shared" si="6"/>
        <v>#DIV/0!</v>
      </c>
      <c r="U7" s="414">
        <f t="shared" si="7"/>
        <v>1.4999999999999458E-3</v>
      </c>
      <c r="V7" s="415">
        <f t="shared" si="11"/>
        <v>1.7799999999999999E-3</v>
      </c>
      <c r="W7" s="414">
        <f t="shared" si="12"/>
        <v>1.0017831740498087</v>
      </c>
      <c r="X7" s="416">
        <f t="shared" si="8"/>
        <v>426.08698000000015</v>
      </c>
      <c r="Y7" s="417" t="e">
        <f t="shared" si="9"/>
        <v>#DIV/0!</v>
      </c>
      <c r="Z7" s="418" t="e">
        <f t="shared" si="10"/>
        <v>#DIV/0!</v>
      </c>
      <c r="AA7" s="427"/>
    </row>
    <row r="8" spans="1:31" ht="16.5" customHeight="1" x14ac:dyDescent="0.2">
      <c r="A8" s="440" t="s">
        <v>11</v>
      </c>
      <c r="B8" s="441"/>
      <c r="C8" s="442" t="s">
        <v>34</v>
      </c>
      <c r="D8" s="443" t="s">
        <v>35</v>
      </c>
      <c r="E8" s="923" t="s">
        <v>33</v>
      </c>
      <c r="F8" s="924"/>
      <c r="G8" s="925" t="s">
        <v>15</v>
      </c>
      <c r="I8" s="406">
        <f t="shared" si="0"/>
        <v>900</v>
      </c>
      <c r="J8" s="426">
        <v>15</v>
      </c>
      <c r="K8" s="853"/>
      <c r="L8" s="409"/>
      <c r="M8" s="407">
        <f t="shared" si="1"/>
        <v>-1000</v>
      </c>
      <c r="N8" s="407">
        <f t="shared" si="2"/>
        <v>-998.5</v>
      </c>
      <c r="O8" s="410"/>
      <c r="P8" s="411">
        <f t="shared" si="3"/>
        <v>-998.5</v>
      </c>
      <c r="Q8" s="412" t="e">
        <f t="shared" si="4"/>
        <v>#DIV/0!</v>
      </c>
      <c r="R8" s="407" t="e">
        <f t="shared" si="5"/>
        <v>#DIV/0!</v>
      </c>
      <c r="S8" s="413" t="e">
        <f t="shared" si="6"/>
        <v>#DIV/0!</v>
      </c>
      <c r="U8" s="414">
        <f t="shared" si="7"/>
        <v>1.4999999999999458E-3</v>
      </c>
      <c r="V8" s="415">
        <f t="shared" si="11"/>
        <v>1.7799999999999999E-3</v>
      </c>
      <c r="W8" s="414">
        <f t="shared" si="12"/>
        <v>1.0017831740498087</v>
      </c>
      <c r="X8" s="416">
        <f t="shared" si="8"/>
        <v>426.08698000000015</v>
      </c>
      <c r="Y8" s="417" t="e">
        <f t="shared" si="9"/>
        <v>#DIV/0!</v>
      </c>
      <c r="Z8" s="418" t="e">
        <f t="shared" si="10"/>
        <v>#DIV/0!</v>
      </c>
      <c r="AA8" s="427"/>
    </row>
    <row r="9" spans="1:31" ht="18" customHeight="1" x14ac:dyDescent="0.2">
      <c r="A9" s="444"/>
      <c r="B9" s="445"/>
      <c r="C9" s="446" t="s">
        <v>8</v>
      </c>
      <c r="D9" s="447" t="s">
        <v>16</v>
      </c>
      <c r="E9" s="447" t="s">
        <v>18</v>
      </c>
      <c r="F9" s="447" t="s">
        <v>17</v>
      </c>
      <c r="G9" s="926"/>
      <c r="I9" s="406">
        <f t="shared" si="0"/>
        <v>2700</v>
      </c>
      <c r="J9" s="426">
        <v>45</v>
      </c>
      <c r="K9" s="853"/>
      <c r="L9" s="409"/>
      <c r="M9" s="407">
        <f t="shared" si="1"/>
        <v>-1000</v>
      </c>
      <c r="N9" s="407">
        <f t="shared" si="2"/>
        <v>-998.5</v>
      </c>
      <c r="O9" s="410"/>
      <c r="P9" s="411">
        <f t="shared" si="3"/>
        <v>-998.5</v>
      </c>
      <c r="Q9" s="412" t="e">
        <f t="shared" si="4"/>
        <v>#DIV/0!</v>
      </c>
      <c r="R9" s="407" t="e">
        <f t="shared" si="5"/>
        <v>#DIV/0!</v>
      </c>
      <c r="S9" s="413" t="e">
        <f t="shared" si="6"/>
        <v>#DIV/0!</v>
      </c>
      <c r="U9" s="414">
        <f t="shared" si="7"/>
        <v>1.4999999999999458E-3</v>
      </c>
      <c r="V9" s="415">
        <f t="shared" si="11"/>
        <v>1.7799999999999999E-3</v>
      </c>
      <c r="W9" s="414">
        <f t="shared" si="12"/>
        <v>1.0017831740498087</v>
      </c>
      <c r="X9" s="416">
        <f t="shared" si="8"/>
        <v>426.08698000000015</v>
      </c>
      <c r="Y9" s="417" t="e">
        <f t="shared" si="9"/>
        <v>#DIV/0!</v>
      </c>
      <c r="Z9" s="418" t="e">
        <f t="shared" si="10"/>
        <v>#DIV/0!</v>
      </c>
      <c r="AA9" s="427"/>
    </row>
    <row r="10" spans="1:31" ht="18.75" customHeight="1" thickBot="1" x14ac:dyDescent="0.25">
      <c r="A10" s="448" t="s">
        <v>3</v>
      </c>
      <c r="B10" s="449"/>
      <c r="C10" s="450" t="s">
        <v>0</v>
      </c>
      <c r="D10" s="451" t="s">
        <v>0</v>
      </c>
      <c r="E10" s="451" t="s">
        <v>0</v>
      </c>
      <c r="F10" s="451" t="s">
        <v>1</v>
      </c>
      <c r="G10" s="452" t="s">
        <v>1</v>
      </c>
      <c r="I10" s="406">
        <f t="shared" si="0"/>
        <v>7200</v>
      </c>
      <c r="J10" s="426">
        <v>120</v>
      </c>
      <c r="K10" s="853"/>
      <c r="L10" s="409"/>
      <c r="M10" s="407">
        <f t="shared" si="1"/>
        <v>-1000</v>
      </c>
      <c r="N10" s="407">
        <f t="shared" si="2"/>
        <v>-998.5</v>
      </c>
      <c r="O10" s="410"/>
      <c r="P10" s="411">
        <f t="shared" si="3"/>
        <v>-998.5</v>
      </c>
      <c r="Q10" s="412" t="e">
        <f t="shared" si="4"/>
        <v>#DIV/0!</v>
      </c>
      <c r="R10" s="407" t="e">
        <f t="shared" si="5"/>
        <v>#DIV/0!</v>
      </c>
      <c r="S10" s="413" t="e">
        <f t="shared" si="6"/>
        <v>#DIV/0!</v>
      </c>
      <c r="U10" s="414">
        <f t="shared" si="7"/>
        <v>1.4999999999999458E-3</v>
      </c>
      <c r="V10" s="415">
        <f t="shared" si="11"/>
        <v>1.7799999999999999E-3</v>
      </c>
      <c r="W10" s="414">
        <f t="shared" si="12"/>
        <v>1.0017831740498087</v>
      </c>
      <c r="X10" s="416">
        <f t="shared" si="8"/>
        <v>426.08698000000015</v>
      </c>
      <c r="Y10" s="417" t="e">
        <f t="shared" si="9"/>
        <v>#DIV/0!</v>
      </c>
      <c r="Z10" s="418" t="e">
        <f t="shared" si="10"/>
        <v>#DIV/0!</v>
      </c>
      <c r="AA10" s="427"/>
    </row>
    <row r="11" spans="1:31" ht="18.75" customHeight="1" thickBot="1" x14ac:dyDescent="0.25">
      <c r="A11" s="948" t="s">
        <v>12</v>
      </c>
      <c r="B11" s="453">
        <v>50</v>
      </c>
      <c r="C11" s="454" t="s">
        <v>21</v>
      </c>
      <c r="D11" s="455">
        <v>0</v>
      </c>
      <c r="E11" s="456">
        <f>D11</f>
        <v>0</v>
      </c>
      <c r="F11" s="457">
        <f t="shared" ref="F11:F25" si="13">E11/$E$26*100</f>
        <v>0</v>
      </c>
      <c r="G11" s="458">
        <v>100</v>
      </c>
      <c r="I11" s="406">
        <f t="shared" si="0"/>
        <v>21600</v>
      </c>
      <c r="J11" s="426">
        <v>360</v>
      </c>
      <c r="K11" s="853"/>
      <c r="L11" s="409"/>
      <c r="M11" s="407">
        <f t="shared" si="1"/>
        <v>-1000</v>
      </c>
      <c r="N11" s="407">
        <f t="shared" si="2"/>
        <v>-998.5</v>
      </c>
      <c r="O11" s="410"/>
      <c r="P11" s="411">
        <f t="shared" si="3"/>
        <v>-998.5</v>
      </c>
      <c r="Q11" s="412" t="e">
        <f t="shared" si="4"/>
        <v>#DIV/0!</v>
      </c>
      <c r="R11" s="407" t="e">
        <f t="shared" si="5"/>
        <v>#DIV/0!</v>
      </c>
      <c r="S11" s="413" t="e">
        <f t="shared" si="6"/>
        <v>#DIV/0!</v>
      </c>
      <c r="U11" s="414">
        <f t="shared" si="7"/>
        <v>1.4999999999999458E-3</v>
      </c>
      <c r="V11" s="415">
        <f t="shared" si="11"/>
        <v>1.7799999999999999E-3</v>
      </c>
      <c r="W11" s="414">
        <f t="shared" si="12"/>
        <v>1.0017831740498087</v>
      </c>
      <c r="X11" s="416">
        <f t="shared" si="8"/>
        <v>426.08698000000015</v>
      </c>
      <c r="Y11" s="417" t="e">
        <f t="shared" si="9"/>
        <v>#DIV/0!</v>
      </c>
      <c r="Z11" s="418" t="e">
        <f t="shared" si="10"/>
        <v>#DIV/0!</v>
      </c>
      <c r="AA11" s="427"/>
    </row>
    <row r="12" spans="1:31" ht="19.5" customHeight="1" thickBot="1" x14ac:dyDescent="0.25">
      <c r="A12" s="949"/>
      <c r="B12" s="459">
        <v>40</v>
      </c>
      <c r="C12" s="460" t="s">
        <v>21</v>
      </c>
      <c r="D12" s="455">
        <v>0</v>
      </c>
      <c r="E12" s="462">
        <f>D12</f>
        <v>0</v>
      </c>
      <c r="F12" s="457">
        <f t="shared" si="13"/>
        <v>0</v>
      </c>
      <c r="G12" s="463">
        <f t="shared" ref="G12:G25" si="14">G11-F12</f>
        <v>100</v>
      </c>
      <c r="I12" s="464">
        <f t="shared" si="0"/>
        <v>86400</v>
      </c>
      <c r="J12" s="465">
        <v>1440</v>
      </c>
      <c r="K12" s="854"/>
      <c r="L12" s="466"/>
      <c r="M12" s="467">
        <f t="shared" si="1"/>
        <v>-1000</v>
      </c>
      <c r="N12" s="467">
        <f t="shared" si="2"/>
        <v>-998.5</v>
      </c>
      <c r="O12" s="851"/>
      <c r="P12" s="468">
        <f t="shared" si="3"/>
        <v>-998.5</v>
      </c>
      <c r="Q12" s="469" t="e">
        <f t="shared" si="4"/>
        <v>#DIV/0!</v>
      </c>
      <c r="R12" s="467" t="e">
        <f t="shared" si="5"/>
        <v>#DIV/0!</v>
      </c>
      <c r="S12" s="470" t="e">
        <f t="shared" si="6"/>
        <v>#DIV/0!</v>
      </c>
      <c r="U12" s="414">
        <f t="shared" si="7"/>
        <v>1.4999999999999458E-3</v>
      </c>
      <c r="V12" s="415">
        <f t="shared" si="11"/>
        <v>1.7799999999999999E-3</v>
      </c>
      <c r="W12" s="414">
        <f t="shared" si="12"/>
        <v>1.0017831740498087</v>
      </c>
      <c r="X12" s="416">
        <f t="shared" si="8"/>
        <v>426.08698000000015</v>
      </c>
      <c r="Y12" s="417" t="e">
        <f t="shared" si="9"/>
        <v>#DIV/0!</v>
      </c>
      <c r="Z12" s="418" t="e">
        <f t="shared" si="10"/>
        <v>#DIV/0!</v>
      </c>
      <c r="AA12" s="427"/>
    </row>
    <row r="13" spans="1:31" ht="19.5" customHeight="1" thickBot="1" x14ac:dyDescent="0.25">
      <c r="A13" s="949"/>
      <c r="B13" s="471">
        <v>30</v>
      </c>
      <c r="C13" s="472" t="s">
        <v>21</v>
      </c>
      <c r="D13" s="455">
        <v>39.5</v>
      </c>
      <c r="E13" s="474">
        <f>D13</f>
        <v>39.5</v>
      </c>
      <c r="F13" s="457">
        <f t="shared" si="13"/>
        <v>14.559528197567264</v>
      </c>
      <c r="G13" s="475">
        <f t="shared" si="14"/>
        <v>85.440471802432739</v>
      </c>
      <c r="AA13" s="427"/>
    </row>
    <row r="14" spans="1:31" ht="19.5" customHeight="1" thickBot="1" x14ac:dyDescent="0.25">
      <c r="A14" s="949"/>
      <c r="B14" s="471">
        <v>20</v>
      </c>
      <c r="C14" s="472" t="s">
        <v>21</v>
      </c>
      <c r="D14" s="455">
        <v>28</v>
      </c>
      <c r="E14" s="474">
        <f>D14</f>
        <v>28</v>
      </c>
      <c r="F14" s="457">
        <f t="shared" si="13"/>
        <v>10.320678215997049</v>
      </c>
      <c r="G14" s="475">
        <f t="shared" si="14"/>
        <v>75.119793586435691</v>
      </c>
    </row>
    <row r="15" spans="1:31" ht="19.5" customHeight="1" thickBot="1" x14ac:dyDescent="0.25">
      <c r="A15" s="950"/>
      <c r="B15" s="476">
        <v>10</v>
      </c>
      <c r="C15" s="477" t="s">
        <v>21</v>
      </c>
      <c r="D15" s="455">
        <v>62.9</v>
      </c>
      <c r="E15" s="462">
        <f>D15</f>
        <v>62.9</v>
      </c>
      <c r="F15" s="479">
        <f t="shared" si="13"/>
        <v>23.184666420936225</v>
      </c>
      <c r="G15" s="480">
        <f t="shared" si="14"/>
        <v>51.935127165499466</v>
      </c>
      <c r="I15" s="481"/>
      <c r="J15" s="481"/>
      <c r="K15" s="481"/>
      <c r="L15" s="481"/>
      <c r="M15" s="481"/>
      <c r="N15" s="481"/>
      <c r="O15" s="481"/>
      <c r="P15" s="481"/>
      <c r="Q15" s="481"/>
      <c r="R15" s="481"/>
      <c r="S15" s="481"/>
      <c r="V15" s="291" t="s">
        <v>122</v>
      </c>
      <c r="W15" s="273"/>
      <c r="X15" s="13"/>
      <c r="Y15" s="13"/>
      <c r="Z15" s="13"/>
    </row>
    <row r="16" spans="1:31" ht="19.5" customHeight="1" thickBot="1" x14ac:dyDescent="0.25">
      <c r="A16" s="948" t="s">
        <v>13</v>
      </c>
      <c r="B16" s="482">
        <v>6.3</v>
      </c>
      <c r="C16" s="483">
        <v>630.4</v>
      </c>
      <c r="D16" s="455">
        <v>639.29999999999995</v>
      </c>
      <c r="E16" s="485">
        <f t="shared" ref="E16:E24" si="15">D16-C16</f>
        <v>8.8999999999999773</v>
      </c>
      <c r="F16" s="457">
        <f t="shared" si="13"/>
        <v>3.2805012900847674</v>
      </c>
      <c r="G16" s="463">
        <f t="shared" si="14"/>
        <v>48.654625875414702</v>
      </c>
      <c r="I16" s="481"/>
      <c r="J16" s="481"/>
      <c r="K16" s="481"/>
      <c r="L16" s="481"/>
      <c r="M16" s="481"/>
      <c r="N16" s="481"/>
      <c r="O16" s="481"/>
      <c r="P16" s="481"/>
      <c r="Q16" s="481"/>
      <c r="R16" s="481"/>
      <c r="S16" s="481"/>
      <c r="V16" s="292" t="s">
        <v>123</v>
      </c>
      <c r="W16" s="279"/>
      <c r="X16" s="204"/>
      <c r="Y16" s="204"/>
      <c r="Z16" s="204"/>
    </row>
    <row r="17" spans="1:26" ht="22.5" customHeight="1" thickBot="1" x14ac:dyDescent="0.25">
      <c r="A17" s="949"/>
      <c r="B17" s="486">
        <v>4</v>
      </c>
      <c r="C17" s="472">
        <v>519.29999999999995</v>
      </c>
      <c r="D17" s="455">
        <v>550.9</v>
      </c>
      <c r="E17" s="487">
        <f t="shared" si="15"/>
        <v>31.600000000000023</v>
      </c>
      <c r="F17" s="457">
        <f t="shared" si="13"/>
        <v>11.64762255805382</v>
      </c>
      <c r="G17" s="475">
        <f t="shared" si="14"/>
        <v>37.007003317360883</v>
      </c>
      <c r="I17" s="481"/>
      <c r="J17" s="481"/>
      <c r="K17" s="481"/>
      <c r="L17" s="481"/>
      <c r="M17" s="481"/>
      <c r="N17" s="481"/>
      <c r="O17" s="481"/>
      <c r="P17" s="481"/>
      <c r="Q17" s="481"/>
      <c r="R17" s="481"/>
      <c r="S17" s="481"/>
      <c r="V17" s="293" t="s">
        <v>124</v>
      </c>
      <c r="W17" s="283"/>
      <c r="X17" s="116"/>
      <c r="Y17" s="116"/>
      <c r="Z17" s="116"/>
    </row>
    <row r="18" spans="1:26" ht="21.95" customHeight="1" thickBot="1" x14ac:dyDescent="0.25">
      <c r="A18" s="949"/>
      <c r="B18" s="486">
        <v>2</v>
      </c>
      <c r="C18" s="472">
        <v>506.2</v>
      </c>
      <c r="D18" s="455">
        <v>535.6</v>
      </c>
      <c r="E18" s="488">
        <f t="shared" si="15"/>
        <v>29.400000000000034</v>
      </c>
      <c r="F18" s="457">
        <f t="shared" si="13"/>
        <v>10.836712126796913</v>
      </c>
      <c r="G18" s="475">
        <f t="shared" si="14"/>
        <v>26.170291190563972</v>
      </c>
      <c r="I18" s="481"/>
      <c r="J18" s="481"/>
      <c r="K18" s="481"/>
      <c r="L18" s="481"/>
      <c r="M18" s="481"/>
      <c r="N18" s="481"/>
      <c r="O18" s="481"/>
      <c r="P18" s="481"/>
      <c r="Q18" s="481"/>
      <c r="R18" s="481"/>
      <c r="S18" s="481"/>
      <c r="V18" s="116"/>
      <c r="W18" s="116"/>
      <c r="X18" s="116"/>
      <c r="Y18" s="116"/>
      <c r="Z18" s="116"/>
    </row>
    <row r="19" spans="1:26" ht="21.95" customHeight="1" thickBot="1" x14ac:dyDescent="0.25">
      <c r="A19" s="949"/>
      <c r="B19" s="486">
        <v>1</v>
      </c>
      <c r="C19" s="472">
        <v>383.8</v>
      </c>
      <c r="D19" s="455">
        <v>399.5</v>
      </c>
      <c r="E19" s="487">
        <f t="shared" si="15"/>
        <v>15.699999999999989</v>
      </c>
      <c r="F19" s="457">
        <f t="shared" si="13"/>
        <v>5.7869517139697697</v>
      </c>
      <c r="G19" s="475">
        <f t="shared" si="14"/>
        <v>20.383339476594202</v>
      </c>
      <c r="I19" s="481"/>
      <c r="J19" s="481"/>
      <c r="K19" s="481"/>
      <c r="L19" s="481"/>
      <c r="M19" s="481"/>
      <c r="N19" s="481"/>
      <c r="O19" s="481"/>
      <c r="P19" s="481"/>
      <c r="Q19" s="481"/>
      <c r="R19" s="481"/>
      <c r="S19" s="481"/>
      <c r="V19" s="264" t="s">
        <v>109</v>
      </c>
      <c r="W19" s="266">
        <v>11</v>
      </c>
      <c r="X19" s="116"/>
      <c r="Y19" s="116"/>
      <c r="Z19" s="116"/>
    </row>
    <row r="20" spans="1:26" ht="21.95" customHeight="1" thickBot="1" x14ac:dyDescent="0.25">
      <c r="A20" s="949"/>
      <c r="B20" s="471">
        <v>0.63</v>
      </c>
      <c r="C20" s="472">
        <v>376.2</v>
      </c>
      <c r="D20" s="455">
        <v>388.6</v>
      </c>
      <c r="E20" s="488">
        <f t="shared" si="15"/>
        <v>12.400000000000034</v>
      </c>
      <c r="F20" s="457">
        <f t="shared" si="13"/>
        <v>4.5705860670844203</v>
      </c>
      <c r="G20" s="475">
        <f t="shared" si="14"/>
        <v>15.812753409509781</v>
      </c>
      <c r="I20" s="481"/>
      <c r="J20" s="481"/>
      <c r="K20" s="481"/>
      <c r="L20" s="481"/>
      <c r="M20" s="481"/>
      <c r="N20" s="481"/>
      <c r="O20" s="481"/>
      <c r="P20" s="481"/>
      <c r="Q20" s="481"/>
      <c r="R20" s="481"/>
      <c r="S20" s="481"/>
      <c r="V20" s="264" t="s">
        <v>107</v>
      </c>
      <c r="W20" s="266">
        <v>13.491</v>
      </c>
      <c r="X20" s="116"/>
      <c r="Y20" s="116"/>
      <c r="Z20" s="116"/>
    </row>
    <row r="21" spans="1:26" ht="21.95" customHeight="1" thickBot="1" x14ac:dyDescent="0.25">
      <c r="A21" s="949"/>
      <c r="B21" s="489">
        <v>0.4</v>
      </c>
      <c r="C21" s="472">
        <v>330.8</v>
      </c>
      <c r="D21" s="455">
        <v>337</v>
      </c>
      <c r="E21" s="487">
        <f t="shared" si="15"/>
        <v>6.1999999999999886</v>
      </c>
      <c r="F21" s="457">
        <f t="shared" si="13"/>
        <v>2.2852930335421995</v>
      </c>
      <c r="G21" s="475">
        <f t="shared" si="14"/>
        <v>13.527460375967582</v>
      </c>
      <c r="I21" s="481"/>
      <c r="J21" s="481"/>
      <c r="K21" s="481"/>
      <c r="L21" s="481"/>
      <c r="M21" s="481"/>
      <c r="N21" s="481"/>
      <c r="O21" s="481"/>
      <c r="P21" s="481"/>
      <c r="Q21" s="481"/>
      <c r="R21" s="481"/>
      <c r="S21" s="481"/>
      <c r="V21" s="264" t="s">
        <v>108</v>
      </c>
      <c r="W21" s="266">
        <v>0.11899999999999999</v>
      </c>
      <c r="X21" s="116"/>
      <c r="Y21" s="116"/>
      <c r="Z21" s="116"/>
    </row>
    <row r="22" spans="1:26" ht="21.95" customHeight="1" thickBot="1" x14ac:dyDescent="0.3">
      <c r="A22" s="949"/>
      <c r="B22" s="489">
        <v>0.2</v>
      </c>
      <c r="C22" s="472">
        <v>326.10000000000002</v>
      </c>
      <c r="D22" s="455">
        <v>331.1</v>
      </c>
      <c r="E22" s="488">
        <f t="shared" si="15"/>
        <v>5</v>
      </c>
      <c r="F22" s="457">
        <f t="shared" si="13"/>
        <v>1.8429782528566159</v>
      </c>
      <c r="G22" s="475">
        <f t="shared" si="14"/>
        <v>11.684482123110966</v>
      </c>
      <c r="I22" s="481"/>
      <c r="J22" s="481"/>
      <c r="K22" s="481"/>
      <c r="L22" s="481"/>
      <c r="M22" s="481"/>
      <c r="N22" s="481"/>
      <c r="O22" s="481"/>
      <c r="P22" s="481"/>
      <c r="Q22" s="481"/>
      <c r="R22" s="481"/>
      <c r="S22" s="481"/>
      <c r="V22" s="285" t="s">
        <v>106</v>
      </c>
      <c r="W22" s="290">
        <f>W20/W21</f>
        <v>113.36974789915966</v>
      </c>
      <c r="X22" s="116"/>
      <c r="Y22" s="116"/>
      <c r="Z22" s="116"/>
    </row>
    <row r="23" spans="1:26" ht="21.95" customHeight="1" thickBot="1" x14ac:dyDescent="0.25">
      <c r="A23" s="949"/>
      <c r="B23" s="489">
        <v>0.1</v>
      </c>
      <c r="C23" s="472">
        <v>304.39999999999998</v>
      </c>
      <c r="D23" s="455">
        <v>310.10000000000002</v>
      </c>
      <c r="E23" s="487">
        <f t="shared" si="15"/>
        <v>5.7000000000000455</v>
      </c>
      <c r="F23" s="457">
        <f t="shared" si="13"/>
        <v>2.1009952082565588</v>
      </c>
      <c r="G23" s="490">
        <f t="shared" si="14"/>
        <v>9.583486914854408</v>
      </c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V23" s="116"/>
      <c r="W23" s="116"/>
      <c r="X23" s="116"/>
      <c r="Y23" s="116"/>
      <c r="Z23" s="116"/>
    </row>
    <row r="24" spans="1:26" ht="21.95" customHeight="1" thickBot="1" x14ac:dyDescent="0.3">
      <c r="A24" s="951"/>
      <c r="B24" s="491">
        <v>6.3E-2</v>
      </c>
      <c r="C24" s="472">
        <v>314.8</v>
      </c>
      <c r="D24" s="455">
        <v>316.2</v>
      </c>
      <c r="E24" s="488">
        <f t="shared" si="15"/>
        <v>1.3999999999999773</v>
      </c>
      <c r="F24" s="492">
        <f t="shared" si="13"/>
        <v>0.51603391079984406</v>
      </c>
      <c r="G24" s="493">
        <f t="shared" si="14"/>
        <v>9.0674530040545633</v>
      </c>
      <c r="I24" s="481"/>
      <c r="J24" s="481"/>
      <c r="K24" s="481"/>
      <c r="L24" s="481"/>
      <c r="M24" s="481"/>
      <c r="N24" s="481"/>
      <c r="O24" s="481"/>
      <c r="P24" s="481"/>
      <c r="Q24" s="481"/>
      <c r="R24" s="481"/>
      <c r="S24" s="481"/>
      <c r="V24" s="269" t="s">
        <v>111</v>
      </c>
      <c r="W24" s="270">
        <f>0.0116*(W21*W21)*(0.7+0.03*W19)</f>
        <v>1.6919562799999993E-4</v>
      </c>
      <c r="X24" s="116"/>
      <c r="Y24" s="116"/>
      <c r="Z24" s="116"/>
    </row>
    <row r="25" spans="1:26" ht="21.95" customHeight="1" thickBot="1" x14ac:dyDescent="0.3">
      <c r="A25" s="856"/>
      <c r="B25" s="476" t="s">
        <v>14</v>
      </c>
      <c r="C25" s="495">
        <v>367.5</v>
      </c>
      <c r="D25" s="455">
        <v>372.2</v>
      </c>
      <c r="E25" s="496">
        <f>D25-C25+(G6-C26)</f>
        <v>24.600000000000023</v>
      </c>
      <c r="F25" s="457">
        <f t="shared" si="13"/>
        <v>9.067453004054558</v>
      </c>
      <c r="G25" s="463">
        <f t="shared" si="14"/>
        <v>0</v>
      </c>
      <c r="I25" s="481"/>
      <c r="J25" s="481"/>
      <c r="K25" s="481"/>
      <c r="L25" s="481"/>
      <c r="M25" s="481"/>
      <c r="N25" s="481"/>
      <c r="O25" s="481"/>
      <c r="P25" s="481"/>
      <c r="Q25" s="481"/>
      <c r="R25" s="481"/>
      <c r="S25" s="481"/>
      <c r="V25" s="265"/>
      <c r="W25" s="268"/>
      <c r="X25" s="116"/>
      <c r="Y25" s="116"/>
      <c r="Z25" s="116"/>
    </row>
    <row r="26" spans="1:26" ht="21.95" customHeight="1" x14ac:dyDescent="0.2">
      <c r="A26" s="952" t="s">
        <v>40</v>
      </c>
      <c r="B26" s="953"/>
      <c r="C26" s="497">
        <v>252.2</v>
      </c>
      <c r="D26" s="498" t="s">
        <v>19</v>
      </c>
      <c r="E26" s="499">
        <f>SUM(E12:E25)</f>
        <v>271.30000000000007</v>
      </c>
      <c r="F26" s="500">
        <f>SUM(F12:F25)</f>
        <v>100</v>
      </c>
      <c r="G26" s="501" t="s">
        <v>20</v>
      </c>
      <c r="I26" s="481"/>
      <c r="J26" s="481"/>
      <c r="K26" s="481"/>
      <c r="L26" s="481"/>
      <c r="M26" s="481"/>
      <c r="N26" s="481"/>
      <c r="O26" s="481"/>
      <c r="P26" s="481"/>
      <c r="Q26" s="481"/>
      <c r="R26" s="481"/>
      <c r="S26" s="481"/>
      <c r="V26" s="271" t="s">
        <v>110</v>
      </c>
      <c r="W26" s="272">
        <v>1.16E-3</v>
      </c>
      <c r="X26" s="273"/>
      <c r="Y26" s="116"/>
      <c r="Z26" s="116"/>
    </row>
    <row r="27" spans="1:26" ht="21.95" customHeight="1" thickBot="1" x14ac:dyDescent="0.3">
      <c r="A27" s="954" t="s">
        <v>43</v>
      </c>
      <c r="B27" s="955"/>
      <c r="C27" s="502">
        <f>(G3-G6)/G6</f>
        <v>-1</v>
      </c>
      <c r="D27" s="503" t="s">
        <v>22</v>
      </c>
      <c r="E27" s="504">
        <f>G6-E26</f>
        <v>0.79999999999995453</v>
      </c>
      <c r="F27" s="505">
        <f>IF((E27/G6*100)&gt;1,"Fehler zu groß",(E27/G6*100))</f>
        <v>0.29400955531053086</v>
      </c>
      <c r="G27" s="506" t="s">
        <v>20</v>
      </c>
      <c r="I27" s="481"/>
      <c r="J27" s="481"/>
      <c r="K27" s="481"/>
      <c r="L27" s="481"/>
      <c r="M27" s="481"/>
      <c r="N27" s="481"/>
      <c r="O27" s="481"/>
      <c r="P27" s="481"/>
      <c r="Q27" s="481"/>
      <c r="R27" s="481"/>
      <c r="S27" s="481"/>
      <c r="V27" s="274" t="s">
        <v>112</v>
      </c>
      <c r="W27" s="275">
        <f>W26*(W21*W21)*(0.7+0.003*W19)</f>
        <v>1.2040815079999998E-5</v>
      </c>
      <c r="X27" s="276" t="str">
        <f>IF(W22&lt;5.000001,"OK","U größer 5")</f>
        <v>U größer 5</v>
      </c>
      <c r="Y27" s="116"/>
      <c r="Z27" s="116"/>
    </row>
    <row r="28" spans="1:26" ht="11.25" customHeight="1" thickBot="1" x14ac:dyDescent="0.25">
      <c r="A28" s="481"/>
      <c r="B28" s="507"/>
      <c r="C28" s="507"/>
      <c r="D28" s="508"/>
      <c r="E28" s="508"/>
      <c r="F28" s="509"/>
      <c r="G28" s="509"/>
      <c r="I28" s="481"/>
      <c r="J28" s="481"/>
      <c r="K28" s="481"/>
      <c r="L28" s="481"/>
      <c r="M28" s="481"/>
      <c r="N28" s="481"/>
      <c r="O28" s="481"/>
      <c r="P28" s="481"/>
      <c r="Q28" s="481"/>
      <c r="R28" s="481"/>
      <c r="S28" s="481"/>
      <c r="V28" s="116"/>
      <c r="W28" s="116"/>
      <c r="X28" s="116"/>
      <c r="Y28" s="116"/>
      <c r="Z28" s="116"/>
    </row>
    <row r="29" spans="1:26" ht="18" customHeight="1" thickBot="1" x14ac:dyDescent="0.3">
      <c r="A29" s="938"/>
      <c r="B29" s="938"/>
      <c r="C29" s="938"/>
      <c r="D29" s="938"/>
      <c r="E29" s="938"/>
      <c r="F29" s="938"/>
      <c r="G29" s="938"/>
      <c r="I29" s="481"/>
      <c r="J29" s="481"/>
      <c r="K29" s="481"/>
      <c r="L29" s="481"/>
      <c r="M29" s="481"/>
      <c r="N29" s="481"/>
      <c r="O29" s="481"/>
      <c r="P29" s="481"/>
      <c r="Q29" s="481"/>
      <c r="R29" s="481"/>
      <c r="S29" s="481"/>
      <c r="V29" s="277" t="s">
        <v>120</v>
      </c>
      <c r="W29" s="287"/>
      <c r="X29" s="286" t="s">
        <v>113</v>
      </c>
      <c r="Y29" s="288"/>
      <c r="Z29" s="286" t="s">
        <v>114</v>
      </c>
    </row>
    <row r="30" spans="1:26" ht="18" customHeight="1" x14ac:dyDescent="0.2">
      <c r="A30" s="510" t="s">
        <v>38</v>
      </c>
      <c r="B30" s="510"/>
      <c r="C30" s="510"/>
      <c r="D30" s="510"/>
      <c r="E30" s="510"/>
      <c r="F30" s="510"/>
      <c r="G30" s="510"/>
      <c r="I30" s="481"/>
      <c r="J30" s="511"/>
      <c r="K30" s="511"/>
      <c r="L30" s="511"/>
      <c r="M30" s="511"/>
      <c r="N30" s="481"/>
      <c r="O30" s="481"/>
      <c r="P30" s="481"/>
      <c r="Q30" s="481"/>
      <c r="R30" s="481"/>
      <c r="S30" s="481"/>
      <c r="V30" s="278" t="s">
        <v>115</v>
      </c>
      <c r="W30" s="79" t="str">
        <f>IF(W21&lt;0.61,"OK","ungültig")</f>
        <v>OK</v>
      </c>
      <c r="X30" s="204"/>
      <c r="Y30" s="204"/>
      <c r="Z30" s="279"/>
    </row>
    <row r="31" spans="1:26" ht="21.95" customHeight="1" x14ac:dyDescent="0.2">
      <c r="A31" s="512" t="s">
        <v>44</v>
      </c>
      <c r="B31" s="513"/>
      <c r="C31" s="513"/>
      <c r="D31" s="513"/>
      <c r="E31" s="513"/>
      <c r="F31" s="514">
        <f>30*(1+C27)*100/G24</f>
        <v>0</v>
      </c>
      <c r="G31" s="515" t="s">
        <v>5</v>
      </c>
      <c r="I31" s="516"/>
      <c r="J31" s="516"/>
      <c r="K31" s="516"/>
      <c r="L31" s="516"/>
      <c r="M31" s="481"/>
      <c r="N31" s="481"/>
      <c r="O31" s="481"/>
      <c r="P31" s="481"/>
      <c r="Q31" s="481"/>
      <c r="R31" s="481"/>
      <c r="S31" s="481"/>
      <c r="V31" s="278" t="s">
        <v>116</v>
      </c>
      <c r="W31" s="13" t="str">
        <f>IF(W21&gt;0.059,"OK","ungültig")</f>
        <v>OK</v>
      </c>
      <c r="X31" s="204"/>
      <c r="Y31" s="204"/>
      <c r="Z31" s="279"/>
    </row>
    <row r="32" spans="1:26" ht="21.95" customHeight="1" x14ac:dyDescent="0.35">
      <c r="A32" s="855" t="s">
        <v>80</v>
      </c>
      <c r="B32" s="518"/>
      <c r="C32" s="518"/>
      <c r="D32" s="518"/>
      <c r="E32" s="519"/>
      <c r="F32" s="520"/>
      <c r="G32" s="521" t="s">
        <v>54</v>
      </c>
      <c r="I32" s="516"/>
      <c r="J32" s="516"/>
      <c r="K32" s="427"/>
      <c r="L32" s="427"/>
      <c r="M32" s="481"/>
      <c r="N32" s="481"/>
      <c r="O32" s="481"/>
      <c r="P32" s="481"/>
      <c r="Q32" s="481"/>
      <c r="R32" s="481"/>
      <c r="S32" s="481"/>
      <c r="V32" s="278" t="s">
        <v>117</v>
      </c>
      <c r="W32" s="13" t="str">
        <f>IF(W22&gt;0.99,"OK","ungültig")</f>
        <v>OK</v>
      </c>
      <c r="X32" s="204"/>
      <c r="Y32" s="204"/>
      <c r="Z32" s="279"/>
    </row>
    <row r="33" spans="1:26" ht="21.95" customHeight="1" thickBot="1" x14ac:dyDescent="0.3">
      <c r="A33" s="855" t="s">
        <v>45</v>
      </c>
      <c r="B33" s="855" t="s">
        <v>46</v>
      </c>
      <c r="C33" s="518"/>
      <c r="D33" s="518"/>
      <c r="E33" s="519"/>
      <c r="F33" s="520">
        <v>0.99850000000000005</v>
      </c>
      <c r="G33" s="522">
        <f>-(F33-1)*1000</f>
        <v>1.4999999999999458</v>
      </c>
      <c r="I33" s="523"/>
      <c r="J33" s="427"/>
      <c r="K33" s="427"/>
      <c r="L33" s="398"/>
      <c r="M33" s="481"/>
      <c r="N33" s="481"/>
      <c r="O33" s="481"/>
      <c r="P33" s="481"/>
      <c r="Q33" s="481"/>
      <c r="R33" s="481"/>
      <c r="S33" s="481"/>
      <c r="V33" s="280" t="s">
        <v>118</v>
      </c>
      <c r="W33" s="281" t="str">
        <f>IF(W22&gt;20.1,"ungültig","OK")</f>
        <v>ungültig</v>
      </c>
      <c r="X33" s="282"/>
      <c r="Y33" s="282"/>
      <c r="Z33" s="283"/>
    </row>
    <row r="34" spans="1:26" ht="21.95" customHeight="1" x14ac:dyDescent="0.25">
      <c r="A34" s="855" t="s">
        <v>9</v>
      </c>
      <c r="B34" s="518"/>
      <c r="C34" s="518"/>
      <c r="D34" s="518"/>
      <c r="E34" s="519"/>
      <c r="F34" s="520">
        <v>2.65</v>
      </c>
      <c r="G34" s="521" t="s">
        <v>6</v>
      </c>
      <c r="I34" s="523"/>
      <c r="J34" s="427"/>
      <c r="K34" s="427"/>
      <c r="L34" s="398"/>
      <c r="M34" s="481"/>
      <c r="N34" s="481"/>
      <c r="O34" s="481"/>
      <c r="P34" s="481"/>
      <c r="Q34" s="481"/>
      <c r="R34" s="481"/>
      <c r="S34" s="481"/>
      <c r="V34" s="116"/>
      <c r="W34" s="116"/>
      <c r="X34" s="116"/>
      <c r="Y34" s="116"/>
      <c r="Z34" s="116"/>
    </row>
    <row r="35" spans="1:26" ht="21.95" customHeight="1" x14ac:dyDescent="0.3">
      <c r="A35" s="855" t="s">
        <v>36</v>
      </c>
      <c r="B35" s="518"/>
      <c r="C35" s="518"/>
      <c r="D35" s="518"/>
      <c r="E35" s="519"/>
      <c r="F35" s="520"/>
      <c r="G35" s="524" t="s">
        <v>7</v>
      </c>
      <c r="I35" s="523"/>
      <c r="J35" s="427"/>
      <c r="K35" s="427"/>
      <c r="L35" s="398"/>
      <c r="M35" s="481"/>
      <c r="N35" s="481"/>
      <c r="O35" s="481"/>
      <c r="P35" s="481"/>
      <c r="Q35" s="481"/>
      <c r="R35" s="481"/>
      <c r="S35" s="481"/>
      <c r="V35" s="265" t="s">
        <v>121</v>
      </c>
      <c r="W35" s="116" t="s">
        <v>331</v>
      </c>
      <c r="X35" s="116"/>
      <c r="Y35" s="116"/>
      <c r="Z35" s="116"/>
    </row>
    <row r="36" spans="1:26" ht="21.75" customHeight="1" x14ac:dyDescent="0.3">
      <c r="A36" s="943" t="s">
        <v>10</v>
      </c>
      <c r="B36" s="944"/>
      <c r="C36" s="944"/>
      <c r="D36" s="944"/>
      <c r="E36" s="945"/>
      <c r="F36" s="525" t="e">
        <f>100/F35*F34/(F34-1)</f>
        <v>#DIV/0!</v>
      </c>
      <c r="G36" s="526"/>
      <c r="I36" s="481"/>
      <c r="J36" s="481"/>
      <c r="K36" s="481"/>
      <c r="L36" s="481"/>
      <c r="M36" s="481"/>
      <c r="N36" s="481"/>
      <c r="O36" s="481"/>
      <c r="P36" s="481"/>
      <c r="Q36" s="481"/>
      <c r="R36" s="481"/>
      <c r="S36" s="481"/>
      <c r="V36" s="267"/>
      <c r="W36" s="839">
        <v>3.4069999999999999E-4</v>
      </c>
      <c r="X36" s="116"/>
      <c r="Y36" s="116"/>
      <c r="Z36" s="116"/>
    </row>
  </sheetData>
  <sheetProtection selectLockedCells="1"/>
  <protectedRanges>
    <protectedRange password="C4F2" sqref="E3:E4 C3:C6 D5:D6 G3:G6 F5" name="Bereich1"/>
    <protectedRange password="C4F2" sqref="K4:K12 L4:L8 L10:L11" name="Bereich1_1"/>
    <protectedRange password="C4F2" sqref="O4:O12" name="Bereich1_2"/>
    <protectedRange password="C4F2" sqref="Q4:Q12" name="Bereich1_3"/>
    <protectedRange password="C4F2" sqref="F32:F35" name="Bereich1_4"/>
    <protectedRange password="C4F2" sqref="D11:D25" name="Bereich1_5"/>
  </protectedRanges>
  <mergeCells count="25">
    <mergeCell ref="A36:E36"/>
    <mergeCell ref="A16:A24"/>
    <mergeCell ref="A29:G29"/>
    <mergeCell ref="A27:B27"/>
    <mergeCell ref="Q1:Q2"/>
    <mergeCell ref="G8:G9"/>
    <mergeCell ref="A26:B26"/>
    <mergeCell ref="A1:G1"/>
    <mergeCell ref="E8:F8"/>
    <mergeCell ref="A11:A15"/>
    <mergeCell ref="P1:P3"/>
    <mergeCell ref="I1:J2"/>
    <mergeCell ref="K1:K3"/>
    <mergeCell ref="M1:M3"/>
    <mergeCell ref="N1:N3"/>
    <mergeCell ref="L1:L2"/>
    <mergeCell ref="O1:O3"/>
    <mergeCell ref="R1:R3"/>
    <mergeCell ref="S1:S3"/>
    <mergeCell ref="AD1:AD2"/>
    <mergeCell ref="AE1:AE2"/>
    <mergeCell ref="X1:X2"/>
    <mergeCell ref="Z1:Z2"/>
    <mergeCell ref="AC1:AC2"/>
    <mergeCell ref="AB1:AB2"/>
  </mergeCells>
  <pageMargins left="0" right="0.7" top="0" bottom="0.75" header="0.3" footer="0.3"/>
  <pageSetup paperSize="9" scale="65" orientation="landscape" r:id="rId1"/>
  <headerFooter alignWithMargins="0"/>
  <drawing r:id="rId2"/>
  <legacy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baseColWidth="10" defaultRowHeight="12.75" x14ac:dyDescent="0.2"/>
  <cols>
    <col min="1" max="1" width="14.140625" style="1008" bestFit="1" customWidth="1"/>
    <col min="2" max="2" width="13.28515625" style="1008" bestFit="1" customWidth="1"/>
    <col min="3" max="3" width="20.85546875" style="1008" customWidth="1"/>
    <col min="4" max="4" width="11.42578125" style="1008"/>
    <col min="5" max="5" width="14" style="1008" customWidth="1"/>
    <col min="6" max="6" width="11.42578125" style="1008"/>
    <col min="7" max="7" width="12.5703125" style="1008" customWidth="1"/>
    <col min="8" max="8" width="15.140625" style="1008" customWidth="1"/>
    <col min="9" max="9" width="18.7109375" style="1008" customWidth="1"/>
    <col min="10" max="10" width="13" style="1008" customWidth="1"/>
    <col min="11" max="11" width="19.140625" style="1008" customWidth="1"/>
    <col min="12" max="16384" width="11.42578125" style="1008"/>
  </cols>
  <sheetData>
    <row r="1" spans="1:11" ht="15.75" x14ac:dyDescent="0.25">
      <c r="A1" s="837" t="s">
        <v>399</v>
      </c>
      <c r="B1" s="837" t="s">
        <v>142</v>
      </c>
      <c r="C1" s="1007" t="s">
        <v>306</v>
      </c>
      <c r="D1" s="1007" t="s">
        <v>147</v>
      </c>
      <c r="E1" s="1007" t="s">
        <v>144</v>
      </c>
      <c r="F1" s="1006" t="s">
        <v>111</v>
      </c>
      <c r="G1" s="1007" t="s">
        <v>112</v>
      </c>
      <c r="H1" s="1006" t="s">
        <v>324</v>
      </c>
      <c r="I1" s="1006" t="s">
        <v>325</v>
      </c>
      <c r="J1" s="1007" t="s">
        <v>400</v>
      </c>
      <c r="K1" s="1007" t="s">
        <v>401</v>
      </c>
    </row>
    <row r="2" spans="1:11" ht="15.75" x14ac:dyDescent="0.25">
      <c r="A2" s="837">
        <f>'1'!C3</f>
        <v>1</v>
      </c>
      <c r="B2" s="1005" t="s">
        <v>188</v>
      </c>
      <c r="C2" s="1005" t="s">
        <v>250</v>
      </c>
      <c r="D2" s="1008">
        <v>1.31</v>
      </c>
      <c r="E2" s="1005" t="s">
        <v>8</v>
      </c>
      <c r="F2" s="1009">
        <f>'1'!$W$24</f>
        <v>9.2525311999999971E-3</v>
      </c>
      <c r="G2" s="1009"/>
      <c r="H2" s="1009"/>
      <c r="I2" s="1009"/>
      <c r="J2" s="1009">
        <f t="shared" ref="J2:J33" si="0">SUM(F2:I2)/COUNT(F2:I2)</f>
        <v>9.2525311999999971E-3</v>
      </c>
      <c r="K2" s="1009"/>
    </row>
    <row r="3" spans="1:11" ht="15.75" x14ac:dyDescent="0.25">
      <c r="A3" s="837">
        <f>'2'!C3</f>
        <v>2</v>
      </c>
      <c r="B3" s="1005" t="s">
        <v>188</v>
      </c>
      <c r="C3" s="1005" t="s">
        <v>303</v>
      </c>
      <c r="D3" s="1008">
        <v>1.49</v>
      </c>
      <c r="E3" s="1005" t="s">
        <v>8</v>
      </c>
      <c r="F3" s="1009">
        <f>'2'!$W$24</f>
        <v>2.688299999999999E-4</v>
      </c>
      <c r="G3" s="1009"/>
      <c r="H3" s="1009"/>
      <c r="I3" s="1009">
        <f>'2'!$W$29</f>
        <v>1.35E-4</v>
      </c>
      <c r="J3" s="1009">
        <f t="shared" si="0"/>
        <v>2.0191499999999994E-4</v>
      </c>
      <c r="K3" s="1009"/>
    </row>
    <row r="4" spans="1:11" ht="15.75" x14ac:dyDescent="0.25">
      <c r="A4" s="837">
        <f>'3'!C3</f>
        <v>3</v>
      </c>
      <c r="B4" s="1005" t="s">
        <v>188</v>
      </c>
      <c r="C4" s="1005" t="s">
        <v>251</v>
      </c>
      <c r="D4" s="1008">
        <v>1.99</v>
      </c>
      <c r="E4" s="1005" t="s">
        <v>8</v>
      </c>
      <c r="F4" s="1009">
        <f>'3'!$W$24</f>
        <v>9.0356749999999993E-4</v>
      </c>
      <c r="G4" s="1009"/>
      <c r="H4" s="1009"/>
      <c r="I4" s="1009">
        <f>'3'!$W$29</f>
        <v>4.2999999999999999E-4</v>
      </c>
      <c r="J4" s="1009">
        <f t="shared" si="0"/>
        <v>6.6678374999999993E-4</v>
      </c>
      <c r="K4" s="1009">
        <v>6.8745538753594803E-5</v>
      </c>
    </row>
    <row r="5" spans="1:11" ht="15.75" x14ac:dyDescent="0.25">
      <c r="A5" s="837">
        <f>'4'!C3</f>
        <v>4</v>
      </c>
      <c r="B5" s="1005" t="s">
        <v>189</v>
      </c>
      <c r="C5" s="1005" t="s">
        <v>252</v>
      </c>
      <c r="D5" s="1008">
        <v>3.02</v>
      </c>
      <c r="E5" s="1005" t="s">
        <v>8</v>
      </c>
      <c r="F5" s="1009">
        <f>'4'!$W$24</f>
        <v>2.0084587999999993E-3</v>
      </c>
      <c r="G5" s="1009"/>
      <c r="H5" s="1009"/>
      <c r="I5" s="1009">
        <f>'4'!$W$29</f>
        <v>1.0499999999999999E-3</v>
      </c>
      <c r="J5" s="1009">
        <f t="shared" si="0"/>
        <v>1.5292293999999997E-3</v>
      </c>
      <c r="K5" s="1009">
        <v>1.1887093338479855E-3</v>
      </c>
    </row>
    <row r="6" spans="1:11" ht="15.75" x14ac:dyDescent="0.25">
      <c r="A6" s="837">
        <f>'5'!C3</f>
        <v>5</v>
      </c>
      <c r="B6" s="1005" t="s">
        <v>190</v>
      </c>
      <c r="C6" s="1005" t="s">
        <v>253</v>
      </c>
      <c r="D6" s="1008">
        <v>3.93</v>
      </c>
      <c r="E6" s="1005" t="s">
        <v>8</v>
      </c>
      <c r="F6" s="1009">
        <f>'5'!$W$24</f>
        <v>1.3408642999999999E-3</v>
      </c>
      <c r="G6" s="1009"/>
      <c r="H6" s="1009"/>
      <c r="I6" s="1009">
        <f>'5'!$W$29</f>
        <v>7.0500000000000001E-4</v>
      </c>
      <c r="J6" s="1009">
        <f t="shared" si="0"/>
        <v>1.0229321499999999E-3</v>
      </c>
      <c r="K6" s="1009"/>
    </row>
    <row r="7" spans="1:11" s="1012" customFormat="1" ht="15.75" x14ac:dyDescent="0.25">
      <c r="A7" s="1004">
        <f>'6'!C3</f>
        <v>6</v>
      </c>
      <c r="B7" s="1011" t="s">
        <v>190</v>
      </c>
      <c r="C7" s="1011" t="s">
        <v>254</v>
      </c>
      <c r="D7" s="1012">
        <v>4.29</v>
      </c>
      <c r="E7" s="1011" t="s">
        <v>8</v>
      </c>
      <c r="F7" s="1013">
        <f>'6'!$W$24</f>
        <v>4.3732666999999987E-3</v>
      </c>
      <c r="G7" s="1013"/>
      <c r="H7" s="1013"/>
      <c r="I7" s="1013"/>
      <c r="J7" s="1013">
        <f t="shared" si="0"/>
        <v>4.3732666999999987E-3</v>
      </c>
      <c r="K7" s="1013"/>
    </row>
    <row r="8" spans="1:11" ht="15.75" x14ac:dyDescent="0.25">
      <c r="A8" s="837">
        <f>'7'!C3</f>
        <v>7</v>
      </c>
      <c r="B8" s="1005" t="s">
        <v>191</v>
      </c>
      <c r="C8" s="1005" t="s">
        <v>398</v>
      </c>
      <c r="D8" s="1008">
        <v>1.8</v>
      </c>
      <c r="E8" s="1005" t="s">
        <v>8</v>
      </c>
      <c r="F8" s="1009">
        <f>'7'!$W$24</f>
        <v>1.0048267999999997E-3</v>
      </c>
      <c r="G8" s="1009"/>
      <c r="H8" s="1009"/>
      <c r="I8" s="1009">
        <f>'7'!$W$29</f>
        <v>5.0000000000000001E-4</v>
      </c>
      <c r="J8" s="1009">
        <f t="shared" si="0"/>
        <v>7.5241339999999987E-4</v>
      </c>
      <c r="K8" s="1009"/>
    </row>
    <row r="9" spans="1:11" ht="15.75" x14ac:dyDescent="0.25">
      <c r="A9" s="837">
        <f>'8'!C3</f>
        <v>8</v>
      </c>
      <c r="B9" s="1005" t="s">
        <v>192</v>
      </c>
      <c r="C9" s="1005" t="s">
        <v>255</v>
      </c>
      <c r="D9" s="1008">
        <v>2.54</v>
      </c>
      <c r="E9" s="1005" t="s">
        <v>8</v>
      </c>
      <c r="F9" s="1009">
        <f>'8'!$W$24</f>
        <v>7.318896749999998E-4</v>
      </c>
      <c r="G9" s="1009"/>
      <c r="H9" s="1009">
        <f>'8'!$Y$29</f>
        <v>4.125E-4</v>
      </c>
      <c r="I9" s="1009"/>
      <c r="J9" s="1009">
        <f t="shared" si="0"/>
        <v>5.7219483749999995E-4</v>
      </c>
      <c r="K9" s="1009">
        <v>6.0399999999999998E-6</v>
      </c>
    </row>
    <row r="10" spans="1:11" ht="15.75" x14ac:dyDescent="0.25">
      <c r="A10" s="837">
        <f>'9'!C3</f>
        <v>9</v>
      </c>
      <c r="B10" s="1005" t="s">
        <v>192</v>
      </c>
      <c r="C10" s="1005" t="s">
        <v>256</v>
      </c>
      <c r="D10" s="1008">
        <v>2.81</v>
      </c>
      <c r="E10" s="1005" t="s">
        <v>8</v>
      </c>
      <c r="F10" s="1009">
        <f>'9'!$W$24</f>
        <v>1.9597706999999998E-3</v>
      </c>
      <c r="G10" s="1009"/>
      <c r="H10" s="1009"/>
      <c r="I10" s="1009">
        <f>'9'!$W$29</f>
        <v>1.0499999999999999E-3</v>
      </c>
      <c r="J10" s="1009">
        <f t="shared" si="0"/>
        <v>1.50488535E-3</v>
      </c>
      <c r="K10" s="1009"/>
    </row>
    <row r="11" spans="1:11" ht="15.75" x14ac:dyDescent="0.25">
      <c r="A11" s="837">
        <f>'10'!C3</f>
        <v>10</v>
      </c>
      <c r="B11" s="1005" t="s">
        <v>192</v>
      </c>
      <c r="C11" s="1005" t="s">
        <v>257</v>
      </c>
      <c r="D11" s="1008">
        <v>3.11</v>
      </c>
      <c r="E11" s="1005" t="s">
        <v>8</v>
      </c>
      <c r="F11" s="1009">
        <f>'10'!$W$24</f>
        <v>3.0470386999999991E-3</v>
      </c>
      <c r="G11" s="1009"/>
      <c r="H11" s="1009"/>
      <c r="I11" s="1009">
        <f>'10'!$W$29</f>
        <v>1.5499999999999999E-3</v>
      </c>
      <c r="J11" s="1009">
        <f t="shared" si="0"/>
        <v>2.2985193499999996E-3</v>
      </c>
      <c r="K11" s="1009">
        <v>8.0585344934476792E-4</v>
      </c>
    </row>
    <row r="12" spans="1:11" ht="15.75" x14ac:dyDescent="0.25">
      <c r="A12" s="837">
        <f>'11'!C3</f>
        <v>11</v>
      </c>
      <c r="B12" s="1005" t="s">
        <v>192</v>
      </c>
      <c r="C12" s="1005" t="s">
        <v>258</v>
      </c>
      <c r="D12" s="1008">
        <v>3.45</v>
      </c>
      <c r="E12" s="1005" t="s">
        <v>8</v>
      </c>
      <c r="F12" s="1009">
        <f>'11'!$W$24</f>
        <v>3.0470386999999991E-3</v>
      </c>
      <c r="G12" s="1009">
        <f>'11'!W27</f>
        <v>2.5983732175E-3</v>
      </c>
      <c r="H12" s="1009">
        <f>'11'!$Y$29</f>
        <v>2.3E-3</v>
      </c>
      <c r="I12" s="1009"/>
      <c r="J12" s="1009">
        <f t="shared" si="0"/>
        <v>2.6484706391666662E-3</v>
      </c>
      <c r="K12" s="1009"/>
    </row>
    <row r="13" spans="1:11" ht="15.75" x14ac:dyDescent="0.25">
      <c r="A13" s="837">
        <f>'12'!C3</f>
        <v>12</v>
      </c>
      <c r="B13" s="1005" t="s">
        <v>315</v>
      </c>
      <c r="C13" s="1005" t="s">
        <v>259</v>
      </c>
      <c r="D13" s="1008">
        <v>4.03</v>
      </c>
      <c r="E13" s="1005" t="s">
        <v>8</v>
      </c>
      <c r="F13" s="1009">
        <f>'12'!$W$24</f>
        <v>3.7468927999999998E-3</v>
      </c>
      <c r="G13" s="1009"/>
      <c r="H13" s="1009"/>
      <c r="I13" s="1009">
        <f>'12'!$W$29</f>
        <v>1.8E-3</v>
      </c>
      <c r="J13" s="1009">
        <f t="shared" si="0"/>
        <v>2.7734463999999999E-3</v>
      </c>
      <c r="K13" s="1009"/>
    </row>
    <row r="14" spans="1:11" s="1012" customFormat="1" ht="15.75" x14ac:dyDescent="0.25">
      <c r="A14" s="1004">
        <f>'13'!C3</f>
        <v>13</v>
      </c>
      <c r="B14" s="1011" t="s">
        <v>315</v>
      </c>
      <c r="C14" s="1011" t="s">
        <v>260</v>
      </c>
      <c r="D14" s="1012">
        <v>4.5599999999999996</v>
      </c>
      <c r="E14" s="1011" t="s">
        <v>8</v>
      </c>
      <c r="F14" s="1013">
        <f>'13'!$W$24</f>
        <v>1.3011371999999998E-3</v>
      </c>
      <c r="G14" s="1013"/>
      <c r="H14" s="1013"/>
      <c r="I14" s="1013">
        <f>'13'!$W$29</f>
        <v>7.1000000000000002E-4</v>
      </c>
      <c r="J14" s="1013">
        <f t="shared" si="0"/>
        <v>1.0055685999999999E-3</v>
      </c>
      <c r="K14" s="1013"/>
    </row>
    <row r="15" spans="1:11" ht="15.75" x14ac:dyDescent="0.25">
      <c r="A15" s="837">
        <f>'20'!C3</f>
        <v>20</v>
      </c>
      <c r="B15" s="1017" t="s">
        <v>193</v>
      </c>
      <c r="C15" s="1017" t="s">
        <v>261</v>
      </c>
      <c r="D15" s="1010">
        <v>1.66</v>
      </c>
      <c r="E15" s="1005" t="s">
        <v>8</v>
      </c>
      <c r="F15" s="1009">
        <f>'20'!$W$24</f>
        <v>8.0892786991999962E-4</v>
      </c>
      <c r="G15" s="1009">
        <f>'20'!W27</f>
        <v>5.7567391131199989E-4</v>
      </c>
      <c r="H15" s="1009">
        <f>'20'!$Y$29</f>
        <v>5.1000000000000004E-4</v>
      </c>
      <c r="I15" s="1009"/>
      <c r="J15" s="1009">
        <f t="shared" si="0"/>
        <v>6.3153392707733318E-4</v>
      </c>
      <c r="K15" s="1009">
        <v>1.8370276745520198E-4</v>
      </c>
    </row>
    <row r="16" spans="1:11" ht="15.75" x14ac:dyDescent="0.25">
      <c r="A16" s="837">
        <v>21</v>
      </c>
      <c r="B16" s="1017" t="s">
        <v>161</v>
      </c>
      <c r="C16" s="1017" t="s">
        <v>330</v>
      </c>
      <c r="D16" s="1010">
        <v>2.17</v>
      </c>
      <c r="E16" s="1005" t="s">
        <v>145</v>
      </c>
      <c r="F16" s="1009">
        <f>'21'!W24</f>
        <v>2.3131327999999993E-5</v>
      </c>
      <c r="G16" s="1009"/>
      <c r="H16" s="1009"/>
      <c r="I16" s="1009"/>
      <c r="J16" s="1009">
        <f t="shared" si="0"/>
        <v>2.3131327999999993E-5</v>
      </c>
      <c r="K16" s="1009"/>
    </row>
    <row r="17" spans="1:11" ht="15.75" x14ac:dyDescent="0.25">
      <c r="A17" s="837">
        <f>'22'!C3</f>
        <v>22</v>
      </c>
      <c r="B17" s="1017" t="s">
        <v>194</v>
      </c>
      <c r="C17" s="1017" t="s">
        <v>262</v>
      </c>
      <c r="D17" s="1010">
        <v>2.82</v>
      </c>
      <c r="E17" s="1005" t="s">
        <v>8</v>
      </c>
      <c r="F17" s="1009">
        <f>'22'!$W$24</f>
        <v>5.5229629999999975E-4</v>
      </c>
      <c r="G17" s="1009"/>
      <c r="H17" s="1009"/>
      <c r="I17" s="1009">
        <f>'22'!$W$29</f>
        <v>2.7999999999999998E-4</v>
      </c>
      <c r="J17" s="1009">
        <f t="shared" si="0"/>
        <v>4.1614814999999986E-4</v>
      </c>
      <c r="K17" s="1009"/>
    </row>
    <row r="18" spans="1:11" ht="15.75" x14ac:dyDescent="0.25">
      <c r="A18" s="837">
        <f>'23'!C3</f>
        <v>23</v>
      </c>
      <c r="B18" s="1017" t="s">
        <v>194</v>
      </c>
      <c r="C18" s="1017" t="s">
        <v>263</v>
      </c>
      <c r="D18" s="1010">
        <v>3.42</v>
      </c>
      <c r="E18" s="1005" t="s">
        <v>8</v>
      </c>
      <c r="F18" s="1009">
        <f>'23'!$W$24</f>
        <v>5.5229629999999975E-4</v>
      </c>
      <c r="G18" s="1009"/>
      <c r="H18" s="1009"/>
      <c r="I18" s="1009">
        <f>'23'!$W$29</f>
        <v>2.9E-4</v>
      </c>
      <c r="J18" s="1009">
        <f t="shared" si="0"/>
        <v>4.2114814999999988E-4</v>
      </c>
      <c r="K18" s="1009"/>
    </row>
    <row r="19" spans="1:11" ht="15.75" x14ac:dyDescent="0.25">
      <c r="A19" s="837">
        <f>'24'!C3</f>
        <v>24</v>
      </c>
      <c r="B19" s="1017" t="s">
        <v>195</v>
      </c>
      <c r="C19" s="1017" t="s">
        <v>264</v>
      </c>
      <c r="D19" s="1010">
        <v>4</v>
      </c>
      <c r="E19" s="1005" t="s">
        <v>8</v>
      </c>
      <c r="F19" s="1009">
        <f>'24'!$W$24</f>
        <v>4.445850799999998E-3</v>
      </c>
      <c r="G19" s="1009"/>
      <c r="H19" s="1009"/>
      <c r="I19" s="1009"/>
      <c r="J19" s="1009">
        <f t="shared" si="0"/>
        <v>4.445850799999998E-3</v>
      </c>
      <c r="K19" s="1009"/>
    </row>
    <row r="20" spans="1:11" ht="15.75" x14ac:dyDescent="0.25">
      <c r="A20" s="837">
        <f>'25'!C3</f>
        <v>25</v>
      </c>
      <c r="B20" s="1017" t="s">
        <v>195</v>
      </c>
      <c r="C20" s="1017" t="s">
        <v>265</v>
      </c>
      <c r="D20" s="1010">
        <v>4.6100000000000003</v>
      </c>
      <c r="E20" s="1005" t="s">
        <v>8</v>
      </c>
      <c r="F20" s="1009">
        <f>'25'!$W$24</f>
        <v>9.8208844171999987E-4</v>
      </c>
      <c r="G20" s="1009"/>
      <c r="H20" s="1009">
        <f>'25'!$Y$29</f>
        <v>4.6500000000000003E-4</v>
      </c>
      <c r="I20" s="1009"/>
      <c r="J20" s="1009">
        <f t="shared" si="0"/>
        <v>7.2354422086E-4</v>
      </c>
      <c r="K20" s="1016">
        <v>2.4127402873344188E-4</v>
      </c>
    </row>
    <row r="21" spans="1:11" ht="15.75" x14ac:dyDescent="0.25">
      <c r="A21" s="837">
        <f>'26'!C3</f>
        <v>26</v>
      </c>
      <c r="B21" s="1017" t="s">
        <v>196</v>
      </c>
      <c r="C21" s="1017" t="s">
        <v>266</v>
      </c>
      <c r="D21" s="1010">
        <v>5.52</v>
      </c>
      <c r="E21" s="1005" t="s">
        <v>8</v>
      </c>
      <c r="F21" s="1009">
        <f>'26'!$W$24</f>
        <v>2.0084587999999993E-3</v>
      </c>
      <c r="G21" s="1009"/>
      <c r="H21" s="1009"/>
      <c r="I21" s="1009">
        <f>'26'!$W$29</f>
        <v>1E-3</v>
      </c>
      <c r="J21" s="1009">
        <f t="shared" si="0"/>
        <v>1.5042293999999996E-3</v>
      </c>
      <c r="K21" s="1009"/>
    </row>
    <row r="22" spans="1:11" ht="15.75" x14ac:dyDescent="0.25">
      <c r="A22" s="837">
        <f>'27'!C3</f>
        <v>27</v>
      </c>
      <c r="B22" s="1017" t="s">
        <v>197</v>
      </c>
      <c r="C22" s="1017" t="s">
        <v>267</v>
      </c>
      <c r="D22" s="1010">
        <v>6.6</v>
      </c>
      <c r="E22" s="1005" t="s">
        <v>8</v>
      </c>
      <c r="F22" s="1009">
        <f>'27'!$W$24</f>
        <v>3.0470386999999991E-3</v>
      </c>
      <c r="G22" s="1009"/>
      <c r="H22" s="1009"/>
      <c r="I22" s="1009">
        <f>'27'!$W$29</f>
        <v>1.6000000000000001E-3</v>
      </c>
      <c r="J22" s="1009">
        <f t="shared" si="0"/>
        <v>2.3235193499999995E-3</v>
      </c>
      <c r="K22" s="1009"/>
    </row>
    <row r="23" spans="1:11" s="1012" customFormat="1" ht="15.75" x14ac:dyDescent="0.25">
      <c r="A23" s="1004">
        <f>'28'!C3</f>
        <v>28</v>
      </c>
      <c r="B23" s="1020" t="s">
        <v>197</v>
      </c>
      <c r="C23" s="1020" t="s">
        <v>268</v>
      </c>
      <c r="D23" s="1014">
        <v>7.2</v>
      </c>
      <c r="E23" s="1011" t="s">
        <v>8</v>
      </c>
      <c r="F23" s="1013">
        <f>'28'!$W$24</f>
        <v>5.7042440299999984E-4</v>
      </c>
      <c r="G23" s="1013">
        <f>'28'!W27</f>
        <v>4.8643146257500001E-4</v>
      </c>
      <c r="H23" s="1013">
        <f>'28'!$Y$29</f>
        <v>4.4499999999999997E-4</v>
      </c>
      <c r="I23" s="1013"/>
      <c r="J23" s="1013">
        <f t="shared" si="0"/>
        <v>5.0061862185833337E-4</v>
      </c>
      <c r="K23" s="1013"/>
    </row>
    <row r="24" spans="1:11" ht="15.75" x14ac:dyDescent="0.25">
      <c r="A24" s="837">
        <f>'29'!C3</f>
        <v>29</v>
      </c>
      <c r="B24" s="1017" t="s">
        <v>198</v>
      </c>
      <c r="C24" s="1017" t="s">
        <v>269</v>
      </c>
      <c r="D24" s="1010">
        <v>0.39</v>
      </c>
      <c r="E24" s="1005" t="s">
        <v>8</v>
      </c>
      <c r="F24" s="1009">
        <f>'29'!$W$24</f>
        <v>4.3132279999999988E-4</v>
      </c>
      <c r="G24" s="1009"/>
      <c r="H24" s="1009"/>
      <c r="I24" s="1009">
        <f>'29'!$W$29</f>
        <v>2.1000000000000001E-4</v>
      </c>
      <c r="J24" s="1009">
        <f t="shared" si="0"/>
        <v>3.2066139999999995E-4</v>
      </c>
      <c r="K24" s="1009"/>
    </row>
    <row r="25" spans="1:11" ht="15.75" x14ac:dyDescent="0.25">
      <c r="A25" s="837">
        <f>'30'!C3</f>
        <v>30</v>
      </c>
      <c r="B25" s="1017" t="s">
        <v>198</v>
      </c>
      <c r="C25" s="1017" t="s">
        <v>270</v>
      </c>
      <c r="D25" s="1010">
        <v>0.66</v>
      </c>
      <c r="E25" s="1005" t="s">
        <v>8</v>
      </c>
      <c r="F25" s="1009">
        <f>'30'!$W$24</f>
        <v>2.5433480587999993E-4</v>
      </c>
      <c r="G25" s="1009"/>
      <c r="H25" s="1009">
        <f>'30'!$Y$29</f>
        <v>1.125E-4</v>
      </c>
      <c r="I25" s="1009"/>
      <c r="J25" s="1009">
        <f t="shared" si="0"/>
        <v>1.8341740293999995E-4</v>
      </c>
      <c r="K25" s="1009">
        <v>1.9760971158887785E-5</v>
      </c>
    </row>
    <row r="26" spans="1:11" ht="15.75" x14ac:dyDescent="0.25">
      <c r="A26" s="837">
        <f>'31'!C3</f>
        <v>31</v>
      </c>
      <c r="B26" s="1017" t="s">
        <v>198</v>
      </c>
      <c r="C26" s="1017" t="s">
        <v>271</v>
      </c>
      <c r="D26" s="1010">
        <v>0.91</v>
      </c>
      <c r="E26" s="1005" t="s">
        <v>8</v>
      </c>
      <c r="F26" s="1009">
        <f>'31'!$W$24</f>
        <v>5.5229629999999975E-4</v>
      </c>
      <c r="G26" s="1009"/>
      <c r="H26" s="1009"/>
      <c r="I26" s="1009">
        <f>'31'!$W$29</f>
        <v>2.7999999999999998E-4</v>
      </c>
      <c r="J26" s="1009">
        <f t="shared" si="0"/>
        <v>4.1614814999999986E-4</v>
      </c>
      <c r="K26" s="1009"/>
    </row>
    <row r="27" spans="1:11" ht="15.75" x14ac:dyDescent="0.25">
      <c r="A27" s="837">
        <f>'32'!C3</f>
        <v>32</v>
      </c>
      <c r="B27" s="1017" t="s">
        <v>198</v>
      </c>
      <c r="C27" s="1017" t="s">
        <v>272</v>
      </c>
      <c r="D27" s="1010">
        <v>1.1200000000000001</v>
      </c>
      <c r="E27" s="1005" t="s">
        <v>8</v>
      </c>
      <c r="F27" s="1009">
        <f>'32'!$W$24</f>
        <v>1.6948010987999994E-4</v>
      </c>
      <c r="G27" s="1009"/>
      <c r="H27" s="1009">
        <f>'32'!$Y$29</f>
        <v>1.08E-4</v>
      </c>
      <c r="I27" s="1009"/>
      <c r="J27" s="1009">
        <f t="shared" si="0"/>
        <v>1.3874005493999997E-4</v>
      </c>
      <c r="K27" s="1009"/>
    </row>
    <row r="28" spans="1:11" ht="15.75" x14ac:dyDescent="0.25">
      <c r="A28" s="837">
        <f>'33'!C3</f>
        <v>33</v>
      </c>
      <c r="B28" s="1017" t="s">
        <v>199</v>
      </c>
      <c r="C28" s="1017" t="s">
        <v>273</v>
      </c>
      <c r="D28" s="1010">
        <v>1.66</v>
      </c>
      <c r="E28" s="1005" t="s">
        <v>8</v>
      </c>
      <c r="F28" s="1009">
        <f>'33'!$W$24</f>
        <v>3.7389605227999991E-4</v>
      </c>
      <c r="G28" s="1009"/>
      <c r="H28" s="1009">
        <f>'33'!$Y$29</f>
        <v>2.2499999999999999E-4</v>
      </c>
      <c r="I28" s="1009"/>
      <c r="J28" s="1009">
        <f t="shared" si="0"/>
        <v>2.9944802613999995E-4</v>
      </c>
      <c r="K28" s="1009">
        <v>1.0777103125584296E-6</v>
      </c>
    </row>
    <row r="29" spans="1:11" s="1012" customFormat="1" ht="15.75" x14ac:dyDescent="0.25">
      <c r="A29" s="1004">
        <v>34</v>
      </c>
      <c r="B29" s="1020" t="s">
        <v>160</v>
      </c>
      <c r="C29" s="1020" t="s">
        <v>329</v>
      </c>
      <c r="D29" s="1014">
        <v>2.17</v>
      </c>
      <c r="E29" s="1011" t="s">
        <v>145</v>
      </c>
      <c r="F29" s="1013">
        <f>'34'!W24</f>
        <v>5.7828319999999983E-6</v>
      </c>
      <c r="G29" s="1013"/>
      <c r="H29" s="1013"/>
      <c r="I29" s="1013"/>
      <c r="J29" s="1013">
        <f t="shared" si="0"/>
        <v>5.7828319999999983E-6</v>
      </c>
      <c r="K29" s="1013">
        <v>2.1905955416305233E-6</v>
      </c>
    </row>
    <row r="30" spans="1:11" ht="15.75" x14ac:dyDescent="0.25">
      <c r="A30" s="837">
        <f>'35'!C3</f>
        <v>35</v>
      </c>
      <c r="B30" s="1017" t="s">
        <v>200</v>
      </c>
      <c r="C30" s="1017" t="s">
        <v>274</v>
      </c>
      <c r="D30" s="1010">
        <v>1.66</v>
      </c>
      <c r="E30" s="1005" t="s">
        <v>8</v>
      </c>
      <c r="F30" s="1009">
        <f>'35'!$W$24</f>
        <v>5.7251482507999986E-4</v>
      </c>
      <c r="G30" s="1009">
        <f>'35'!W27</f>
        <v>4.8821407752699995E-4</v>
      </c>
      <c r="H30" s="1009">
        <f>'35'!$Y$29</f>
        <v>4.2499999999999998E-4</v>
      </c>
      <c r="I30" s="1009"/>
      <c r="J30" s="1009">
        <f t="shared" si="0"/>
        <v>4.9524296753566662E-4</v>
      </c>
      <c r="K30" s="1009">
        <v>6.0171003021873439E-5</v>
      </c>
    </row>
    <row r="31" spans="1:11" ht="15.75" x14ac:dyDescent="0.25">
      <c r="A31" s="837">
        <f>'36'!C3</f>
        <v>36</v>
      </c>
      <c r="B31" s="1017" t="s">
        <v>200</v>
      </c>
      <c r="C31" s="1017" t="s">
        <v>275</v>
      </c>
      <c r="D31" s="1010">
        <v>2.1</v>
      </c>
      <c r="E31" s="1005" t="s">
        <v>8</v>
      </c>
      <c r="F31" s="1009">
        <f>'36'!$W$24</f>
        <v>8.2706923519999979E-5</v>
      </c>
      <c r="G31" s="1009"/>
      <c r="H31" s="1009">
        <f>'36'!$Y$29</f>
        <v>5.1999999999999997E-5</v>
      </c>
      <c r="I31" s="1009"/>
      <c r="J31" s="1009">
        <f t="shared" si="0"/>
        <v>6.7353461759999992E-5</v>
      </c>
      <c r="K31" s="1009">
        <v>1.5088837858592248E-7</v>
      </c>
    </row>
    <row r="32" spans="1:11" ht="15.75" x14ac:dyDescent="0.25">
      <c r="A32" s="837">
        <f>'37'!C3</f>
        <v>37</v>
      </c>
      <c r="B32" s="1017" t="s">
        <v>201</v>
      </c>
      <c r="C32" s="1017" t="s">
        <v>276</v>
      </c>
      <c r="D32" s="1010">
        <v>2.5299999999999998</v>
      </c>
      <c r="E32" s="1005" t="s">
        <v>8</v>
      </c>
      <c r="F32" s="1009">
        <f>'37'!$W$24</f>
        <v>5.5247551999999991E-5</v>
      </c>
      <c r="G32" s="1009">
        <f>'37'!W27</f>
        <v>1.5591203200000002E-5</v>
      </c>
      <c r="H32" s="1009">
        <f>'37'!$Y$29</f>
        <v>4.3000000000000002E-5</v>
      </c>
      <c r="I32" s="1009"/>
      <c r="J32" s="1009">
        <f t="shared" si="0"/>
        <v>3.7946251733333328E-5</v>
      </c>
      <c r="K32" s="1009">
        <v>3.7326416480792254E-7</v>
      </c>
    </row>
    <row r="33" spans="1:11" ht="15.75" x14ac:dyDescent="0.25">
      <c r="A33" s="837">
        <f>'38'!C3</f>
        <v>38</v>
      </c>
      <c r="B33" s="1017" t="s">
        <v>201</v>
      </c>
      <c r="C33" s="1017" t="s">
        <v>277</v>
      </c>
      <c r="D33" s="1010">
        <v>2.71</v>
      </c>
      <c r="E33" s="1005" t="s">
        <v>8</v>
      </c>
      <c r="F33" s="1009">
        <f>'38'!$W$24</f>
        <v>2.2091851999999993E-5</v>
      </c>
      <c r="G33" s="1009"/>
      <c r="H33" s="1009"/>
      <c r="I33" s="1009"/>
      <c r="J33" s="1009">
        <f t="shared" si="0"/>
        <v>2.2091851999999993E-5</v>
      </c>
      <c r="K33" s="1009"/>
    </row>
    <row r="34" spans="1:11" ht="15.75" x14ac:dyDescent="0.25">
      <c r="A34" s="837">
        <f>'39'!C3</f>
        <v>39</v>
      </c>
      <c r="B34" s="1017" t="s">
        <v>201</v>
      </c>
      <c r="C34" s="1017" t="s">
        <v>278</v>
      </c>
      <c r="D34" s="1010">
        <v>3</v>
      </c>
      <c r="E34" s="1005" t="s">
        <v>8</v>
      </c>
      <c r="F34" s="1009">
        <f>'39'!$W$24</f>
        <v>1.1947999999999999E-4</v>
      </c>
      <c r="G34" s="1009"/>
      <c r="H34" s="1009"/>
      <c r="I34" s="1009">
        <f>'39'!$W$29</f>
        <v>0</v>
      </c>
      <c r="J34" s="1009">
        <f t="shared" ref="J34:J65" si="1">SUM(F34:I34)/COUNT(F34:I34)</f>
        <v>5.9739999999999994E-5</v>
      </c>
      <c r="K34" s="1009">
        <v>7.3717849912061489E-7</v>
      </c>
    </row>
    <row r="35" spans="1:11" ht="15.75" x14ac:dyDescent="0.25">
      <c r="A35" s="837">
        <f>'40'!C3</f>
        <v>40</v>
      </c>
      <c r="B35" s="1017" t="s">
        <v>201</v>
      </c>
      <c r="C35" s="1017" t="s">
        <v>279</v>
      </c>
      <c r="D35" s="1010">
        <v>3.45</v>
      </c>
      <c r="E35" s="1005" t="s">
        <v>8</v>
      </c>
      <c r="F35" s="1009">
        <f>'40'!$W$24</f>
        <v>6.3204919999999994E-4</v>
      </c>
      <c r="G35" s="1009"/>
      <c r="H35" s="1009"/>
      <c r="I35" s="1009">
        <f>'40'!$W$29</f>
        <v>0</v>
      </c>
      <c r="J35" s="1009">
        <f t="shared" si="1"/>
        <v>3.1602459999999997E-4</v>
      </c>
      <c r="K35" s="1009">
        <v>2.4884460670915301E-5</v>
      </c>
    </row>
    <row r="36" spans="1:11" ht="15.75" x14ac:dyDescent="0.25">
      <c r="A36" s="837">
        <f>'41'!C3</f>
        <v>41</v>
      </c>
      <c r="B36" s="1017" t="s">
        <v>202</v>
      </c>
      <c r="C36" s="1017" t="s">
        <v>280</v>
      </c>
      <c r="D36" s="1010">
        <v>4.3499999999999996</v>
      </c>
      <c r="E36" s="1005" t="s">
        <v>8</v>
      </c>
      <c r="F36" s="1009">
        <f>'41'!$W$24</f>
        <v>1.0753199999999996E-3</v>
      </c>
      <c r="G36" s="1009"/>
      <c r="H36" s="1009"/>
      <c r="I36" s="1009">
        <f>'41'!$W$29</f>
        <v>0</v>
      </c>
      <c r="J36" s="1009">
        <f t="shared" si="1"/>
        <v>5.3765999999999981E-4</v>
      </c>
      <c r="K36" s="1009">
        <v>3.3707303902016326E-5</v>
      </c>
    </row>
    <row r="37" spans="1:11" ht="15.75" x14ac:dyDescent="0.25">
      <c r="A37" s="837">
        <f>'42'!C3</f>
        <v>42</v>
      </c>
      <c r="B37" s="1017" t="s">
        <v>203</v>
      </c>
      <c r="C37" s="1017" t="s">
        <v>281</v>
      </c>
      <c r="D37" s="1010">
        <v>4.45</v>
      </c>
      <c r="E37" s="1005" t="s">
        <v>8</v>
      </c>
      <c r="F37" s="1009">
        <f>'42'!$W$24</f>
        <v>1.1114626999999995E-3</v>
      </c>
      <c r="G37" s="1009"/>
      <c r="H37" s="1009"/>
      <c r="I37" s="1009">
        <f>'42'!$W$29</f>
        <v>0</v>
      </c>
      <c r="J37" s="1009">
        <f t="shared" si="1"/>
        <v>5.5573134999999975E-4</v>
      </c>
      <c r="K37" s="1009">
        <v>4.2717028332179387E-5</v>
      </c>
    </row>
    <row r="38" spans="1:11" s="1012" customFormat="1" ht="15.75" x14ac:dyDescent="0.25">
      <c r="A38" s="1004">
        <f>'43'!C3</f>
        <v>43</v>
      </c>
      <c r="B38" s="1020" t="s">
        <v>204</v>
      </c>
      <c r="C38" s="1020" t="s">
        <v>282</v>
      </c>
      <c r="D38" s="1014">
        <v>6.26</v>
      </c>
      <c r="E38" s="1011" t="s">
        <v>8</v>
      </c>
      <c r="F38" s="1013">
        <f>'43'!$W$24</f>
        <v>2.0084587999999993E-3</v>
      </c>
      <c r="G38" s="1013"/>
      <c r="H38" s="1013"/>
      <c r="I38" s="1013">
        <f>'43'!$W$29</f>
        <v>1E-3</v>
      </c>
      <c r="J38" s="1013">
        <f t="shared" si="1"/>
        <v>1.5042293999999996E-3</v>
      </c>
      <c r="K38" s="1013">
        <v>5.3681414248013006E-4</v>
      </c>
    </row>
    <row r="39" spans="1:11" ht="15.75" x14ac:dyDescent="0.25">
      <c r="A39" s="837">
        <v>44</v>
      </c>
      <c r="B39" s="1017" t="s">
        <v>171</v>
      </c>
      <c r="C39" s="1017" t="s">
        <v>205</v>
      </c>
      <c r="D39" s="1010">
        <v>2.66</v>
      </c>
      <c r="E39" s="1005" t="s">
        <v>167</v>
      </c>
      <c r="F39" s="1009">
        <f>'44'!W24</f>
        <v>3.3561931999999995E-5</v>
      </c>
      <c r="G39" s="1009"/>
      <c r="H39" s="1009"/>
      <c r="I39" s="1009">
        <f>'44'!$W$29</f>
        <v>3.0499999999999999E-5</v>
      </c>
      <c r="J39" s="1009">
        <f t="shared" si="1"/>
        <v>3.2030965999999999E-5</v>
      </c>
      <c r="K39" s="1009">
        <v>2.6210992080337902E-7</v>
      </c>
    </row>
    <row r="40" spans="1:11" ht="15.75" x14ac:dyDescent="0.25">
      <c r="A40" s="837">
        <f>'45'!C3</f>
        <v>45</v>
      </c>
      <c r="B40" s="1017" t="s">
        <v>171</v>
      </c>
      <c r="C40" s="1017" t="s">
        <v>283</v>
      </c>
      <c r="D40" s="1010">
        <v>2.9</v>
      </c>
      <c r="E40" s="1005" t="s">
        <v>8</v>
      </c>
      <c r="F40" s="1009">
        <f>'45'!$W$24</f>
        <v>9.9158961079999969E-5</v>
      </c>
      <c r="G40" s="1009"/>
      <c r="H40" s="1009">
        <f>'45'!$Y$29</f>
        <v>5.9500000000000003E-5</v>
      </c>
      <c r="I40" s="1009"/>
      <c r="J40" s="1009">
        <f t="shared" si="1"/>
        <v>7.9329480539999989E-5</v>
      </c>
      <c r="K40" s="1009"/>
    </row>
    <row r="41" spans="1:11" ht="15.75" x14ac:dyDescent="0.25">
      <c r="A41" s="837">
        <f>'46'!C3</f>
        <v>46</v>
      </c>
      <c r="B41" s="1017" t="s">
        <v>171</v>
      </c>
      <c r="C41" s="1017" t="s">
        <v>284</v>
      </c>
      <c r="D41" s="1010">
        <v>3.14</v>
      </c>
      <c r="E41" s="1005" t="s">
        <v>8</v>
      </c>
      <c r="F41" s="1009">
        <f>'46'!$W$24</f>
        <v>9.7857106999999974E-5</v>
      </c>
      <c r="G41" s="1009"/>
      <c r="H41" s="1009"/>
      <c r="I41" s="1009">
        <f>'46'!$W$29</f>
        <v>4.8999999999999998E-5</v>
      </c>
      <c r="J41" s="1009">
        <f t="shared" si="1"/>
        <v>7.3428553499999986E-5</v>
      </c>
      <c r="K41" s="1009">
        <v>5.9336137313456809E-7</v>
      </c>
    </row>
    <row r="42" spans="1:11" ht="15.75" x14ac:dyDescent="0.25">
      <c r="A42" s="837">
        <f>'47'!C3</f>
        <v>47</v>
      </c>
      <c r="B42" s="1017" t="s">
        <v>171</v>
      </c>
      <c r="C42" s="1017" t="s">
        <v>285</v>
      </c>
      <c r="D42" s="1010">
        <v>3.46</v>
      </c>
      <c r="E42" s="1005" t="s">
        <v>8</v>
      </c>
      <c r="F42" s="1009">
        <f>'47'!$W$24</f>
        <v>1.0048267999999997E-3</v>
      </c>
      <c r="G42" s="1009"/>
      <c r="H42" s="1009"/>
      <c r="I42" s="1009">
        <f>'47'!$W$29</f>
        <v>5.0500000000000002E-4</v>
      </c>
      <c r="J42" s="1009">
        <f t="shared" si="1"/>
        <v>7.5491339999999988E-4</v>
      </c>
      <c r="K42" s="1009">
        <v>5.2597630449549278E-4</v>
      </c>
    </row>
    <row r="43" spans="1:11" ht="15.75" x14ac:dyDescent="0.25">
      <c r="A43" s="837">
        <f>'48'!C3</f>
        <v>48</v>
      </c>
      <c r="B43" s="1017" t="s">
        <v>206</v>
      </c>
      <c r="C43" s="1017" t="s">
        <v>286</v>
      </c>
      <c r="D43" s="1010">
        <v>4.17</v>
      </c>
      <c r="E43" s="1005" t="s">
        <v>8</v>
      </c>
      <c r="F43" s="1009">
        <f>'48'!$W$24</f>
        <v>2.0084587999999993E-3</v>
      </c>
      <c r="G43" s="1009"/>
      <c r="H43" s="1009"/>
      <c r="I43" s="1009">
        <f>'48'!$W$29</f>
        <v>1E-3</v>
      </c>
      <c r="J43" s="1009">
        <f t="shared" si="1"/>
        <v>1.5042293999999996E-3</v>
      </c>
      <c r="K43" s="1009">
        <v>5.9268062879026512E-5</v>
      </c>
    </row>
    <row r="44" spans="1:11" ht="15.75" x14ac:dyDescent="0.25">
      <c r="A44" s="837">
        <f>'49'!C3</f>
        <v>49</v>
      </c>
      <c r="B44" s="1017" t="s">
        <v>206</v>
      </c>
      <c r="C44" s="1017" t="s">
        <v>287</v>
      </c>
      <c r="D44" s="1010">
        <v>4.7300000000000004</v>
      </c>
      <c r="E44" s="1005" t="s">
        <v>8</v>
      </c>
      <c r="F44" s="1009">
        <f>'49'!$W$24</f>
        <v>6.4697571691999976E-4</v>
      </c>
      <c r="G44" s="1009"/>
      <c r="H44" s="1009">
        <f>'49'!$Y$29</f>
        <v>3.6499999999999998E-4</v>
      </c>
      <c r="I44" s="1009"/>
      <c r="J44" s="1009">
        <f t="shared" si="1"/>
        <v>5.0598785845999987E-4</v>
      </c>
      <c r="K44" s="1009"/>
    </row>
    <row r="45" spans="1:11" ht="15.75" x14ac:dyDescent="0.25">
      <c r="A45" s="837">
        <f>'50'!C3</f>
        <v>50</v>
      </c>
      <c r="B45" s="1017" t="s">
        <v>206</v>
      </c>
      <c r="C45" s="1017" t="s">
        <v>288</v>
      </c>
      <c r="D45" s="1010">
        <v>4.8099999999999996</v>
      </c>
      <c r="E45" s="1005" t="s">
        <v>8</v>
      </c>
      <c r="F45" s="1009">
        <f>'50'!$W$24</f>
        <v>9.0356749999999993E-4</v>
      </c>
      <c r="G45" s="1009"/>
      <c r="H45" s="1009"/>
      <c r="I45" s="1009">
        <f>'50'!$W$29</f>
        <v>4.4000000000000002E-4</v>
      </c>
      <c r="J45" s="1009">
        <f t="shared" si="1"/>
        <v>6.7178374999999995E-4</v>
      </c>
      <c r="K45" s="1009"/>
    </row>
    <row r="46" spans="1:11" ht="15.75" x14ac:dyDescent="0.25">
      <c r="A46" s="837">
        <f>'51'!C3</f>
        <v>51</v>
      </c>
      <c r="B46" s="1017" t="s">
        <v>207</v>
      </c>
      <c r="C46" s="1017" t="s">
        <v>289</v>
      </c>
      <c r="D46" s="1010">
        <v>4.91</v>
      </c>
      <c r="E46" s="1005" t="s">
        <v>8</v>
      </c>
      <c r="F46" s="1009">
        <f>'51'!$W$24</f>
        <v>8.7100919999999991E-4</v>
      </c>
      <c r="G46" s="1009"/>
      <c r="H46" s="1009"/>
      <c r="I46" s="1009">
        <f>'51'!$W$29</f>
        <v>4.2000000000000002E-4</v>
      </c>
      <c r="J46" s="1009">
        <f t="shared" si="1"/>
        <v>6.4550459999999997E-4</v>
      </c>
      <c r="K46" s="1009"/>
    </row>
    <row r="47" spans="1:11" ht="15.75" x14ac:dyDescent="0.25">
      <c r="A47" s="837">
        <f>'52'!C3</f>
        <v>52</v>
      </c>
      <c r="B47" s="1017" t="s">
        <v>207</v>
      </c>
      <c r="C47" s="1017" t="s">
        <v>290</v>
      </c>
      <c r="D47" s="1010">
        <v>5.52</v>
      </c>
      <c r="E47" s="1005" t="s">
        <v>8</v>
      </c>
      <c r="F47" s="1009">
        <f>'52'!$W$24</f>
        <v>1.6198051755199996E-3</v>
      </c>
      <c r="G47" s="1009"/>
      <c r="H47" s="1009">
        <f>'52'!$Y$29</f>
        <v>8.0000000000000004E-4</v>
      </c>
      <c r="I47" s="1009"/>
      <c r="J47" s="1009">
        <f t="shared" si="1"/>
        <v>1.2099025877599999E-3</v>
      </c>
      <c r="K47" s="1018">
        <v>1.9969948845105826E-4</v>
      </c>
    </row>
    <row r="48" spans="1:11" s="1012" customFormat="1" ht="15.75" x14ac:dyDescent="0.25">
      <c r="A48" s="1004">
        <f>'53'!C3</f>
        <v>53</v>
      </c>
      <c r="B48" s="1020" t="s">
        <v>208</v>
      </c>
      <c r="C48" s="1020" t="s">
        <v>291</v>
      </c>
      <c r="D48" s="1014">
        <v>6.4</v>
      </c>
      <c r="E48" s="1011" t="s">
        <v>8</v>
      </c>
      <c r="F48" s="1013">
        <f>'53'!$W$24</f>
        <v>3.2469130881199989E-3</v>
      </c>
      <c r="G48" s="1013">
        <f>'53'!W27</f>
        <v>2.7688168213029995E-3</v>
      </c>
      <c r="H48" s="1013">
        <f>'53'!$Y$29</f>
        <v>2.3999999999999998E-3</v>
      </c>
      <c r="I48" s="1013"/>
      <c r="J48" s="1013">
        <f t="shared" si="1"/>
        <v>2.8052433031409991E-3</v>
      </c>
      <c r="K48" s="1019">
        <v>5.5443003980982532E-4</v>
      </c>
    </row>
    <row r="49" spans="1:11" ht="15.75" x14ac:dyDescent="0.25">
      <c r="A49" s="837">
        <f>'60'!C3</f>
        <v>60</v>
      </c>
      <c r="B49" s="1017" t="s">
        <v>170</v>
      </c>
      <c r="C49" s="1017" t="s">
        <v>292</v>
      </c>
      <c r="D49" s="1010">
        <v>0.15</v>
      </c>
      <c r="E49" s="1005" t="s">
        <v>8</v>
      </c>
      <c r="F49" s="1009">
        <f>'60'!$W$24</f>
        <v>7.6467199999999985E-5</v>
      </c>
      <c r="G49" s="1009"/>
      <c r="H49" s="1009"/>
      <c r="I49" s="1009">
        <f>'60'!$W$29</f>
        <v>3.7499999999999997E-5</v>
      </c>
      <c r="J49" s="1009">
        <f t="shared" si="1"/>
        <v>5.6983599999999994E-5</v>
      </c>
      <c r="K49" s="1009"/>
    </row>
    <row r="50" spans="1:11" ht="15.75" x14ac:dyDescent="0.25">
      <c r="A50" s="837">
        <f>'61'!C3</f>
        <v>61</v>
      </c>
      <c r="B50" s="1017" t="s">
        <v>170</v>
      </c>
      <c r="C50" s="1017" t="s">
        <v>293</v>
      </c>
      <c r="D50" s="1010">
        <v>0.45</v>
      </c>
      <c r="E50" s="1005" t="s">
        <v>8</v>
      </c>
      <c r="F50" s="1009">
        <f>'61'!$W$24</f>
        <v>6.7207499999999976E-5</v>
      </c>
      <c r="G50" s="1009"/>
      <c r="H50" s="1009">
        <f>'61'!$Y$29</f>
        <v>4.5000000000000003E-5</v>
      </c>
      <c r="I50" s="1009"/>
      <c r="J50" s="1009">
        <f t="shared" si="1"/>
        <v>5.6103749999999986E-5</v>
      </c>
      <c r="K50" s="1018">
        <v>4.3876742349485946E-6</v>
      </c>
    </row>
    <row r="51" spans="1:11" ht="15.75" x14ac:dyDescent="0.25">
      <c r="A51" s="837">
        <v>62</v>
      </c>
      <c r="B51" s="1017" t="s">
        <v>170</v>
      </c>
      <c r="C51" s="1017" t="s">
        <v>244</v>
      </c>
      <c r="D51" s="1010">
        <v>0.75</v>
      </c>
      <c r="E51" s="1005" t="s">
        <v>167</v>
      </c>
      <c r="F51" s="1009">
        <f>'62'!W24</f>
        <v>4.8939007999999994E-7</v>
      </c>
      <c r="G51" s="1009"/>
      <c r="H51" s="1009"/>
      <c r="I51" s="1009"/>
      <c r="J51" s="1009">
        <f t="shared" si="1"/>
        <v>4.8939007999999994E-7</v>
      </c>
      <c r="K51" s="1009"/>
    </row>
    <row r="52" spans="1:11" ht="15.75" x14ac:dyDescent="0.25">
      <c r="A52" s="837">
        <f>'63'!$C$3</f>
        <v>63</v>
      </c>
      <c r="B52" s="1017" t="s">
        <v>170</v>
      </c>
      <c r="C52" s="1017" t="s">
        <v>301</v>
      </c>
      <c r="D52" s="1010">
        <v>1.05</v>
      </c>
      <c r="E52" s="1005" t="s">
        <v>8</v>
      </c>
      <c r="F52" s="1009">
        <f>'63'!$W$24</f>
        <v>6.0229867999999991E-7</v>
      </c>
      <c r="G52" s="1009"/>
      <c r="H52" s="1009"/>
      <c r="I52" s="1009"/>
      <c r="J52" s="1009">
        <f t="shared" si="1"/>
        <v>6.0229867999999991E-7</v>
      </c>
      <c r="K52" s="1009"/>
    </row>
    <row r="53" spans="1:11" ht="15.75" x14ac:dyDescent="0.25">
      <c r="A53" s="837">
        <f>'64'!$C$3</f>
        <v>64</v>
      </c>
      <c r="B53" s="1017" t="s">
        <v>209</v>
      </c>
      <c r="C53" s="1017" t="s">
        <v>302</v>
      </c>
      <c r="D53" s="1010">
        <v>1.35</v>
      </c>
      <c r="E53" s="1005" t="s">
        <v>8</v>
      </c>
      <c r="F53" s="1009">
        <f>'64'!$W$24</f>
        <v>2.9869999999999997E-5</v>
      </c>
      <c r="G53" s="1009"/>
      <c r="H53" s="1009"/>
      <c r="I53" s="1009"/>
      <c r="J53" s="1009">
        <f t="shared" si="1"/>
        <v>2.9869999999999997E-5</v>
      </c>
      <c r="K53" s="1009"/>
    </row>
    <row r="54" spans="1:11" ht="15.75" x14ac:dyDescent="0.25">
      <c r="A54" s="837">
        <f>'65'!C3</f>
        <v>65</v>
      </c>
      <c r="B54" s="1017" t="s">
        <v>209</v>
      </c>
      <c r="C54" s="1017" t="s">
        <v>294</v>
      </c>
      <c r="D54" s="1010">
        <v>1.65</v>
      </c>
      <c r="E54" s="1005" t="s">
        <v>8</v>
      </c>
      <c r="F54" s="1009">
        <f>'65'!$W$24</f>
        <v>8.0534418679999997E-5</v>
      </c>
      <c r="G54" s="1009"/>
      <c r="H54" s="1009">
        <f>'65'!$Y$29</f>
        <v>4.8000000000000001E-5</v>
      </c>
      <c r="I54" s="1009"/>
      <c r="J54" s="1009">
        <f t="shared" si="1"/>
        <v>6.4267209339999992E-5</v>
      </c>
      <c r="K54" s="1018">
        <v>2.3862578345859249E-7</v>
      </c>
    </row>
    <row r="55" spans="1:11" ht="15.75" x14ac:dyDescent="0.25">
      <c r="A55" s="837">
        <f>'66'!C3</f>
        <v>66</v>
      </c>
      <c r="B55" s="1017" t="s">
        <v>209</v>
      </c>
      <c r="C55" s="1017" t="s">
        <v>295</v>
      </c>
      <c r="D55" s="1010">
        <v>1.95</v>
      </c>
      <c r="E55" s="1005" t="s">
        <v>8</v>
      </c>
      <c r="F55" s="1009">
        <f>'66'!$W$24</f>
        <v>1.7205119999999993E-4</v>
      </c>
      <c r="G55" s="1009"/>
      <c r="H55" s="1009"/>
      <c r="I55" s="1009">
        <f>'66'!$W$29</f>
        <v>8.3999999999999995E-5</v>
      </c>
      <c r="J55" s="1009">
        <f t="shared" si="1"/>
        <v>1.2802559999999997E-4</v>
      </c>
      <c r="K55" s="1009"/>
    </row>
    <row r="56" spans="1:11" ht="15.75" x14ac:dyDescent="0.25">
      <c r="A56" s="837">
        <f>'67'!C3</f>
        <v>67</v>
      </c>
      <c r="B56" s="1017" t="s">
        <v>209</v>
      </c>
      <c r="C56" s="1017" t="s">
        <v>296</v>
      </c>
      <c r="D56" s="1010">
        <v>2.25</v>
      </c>
      <c r="E56" s="1005" t="s">
        <v>8</v>
      </c>
      <c r="F56" s="1009">
        <f>'67'!$W$24</f>
        <v>2.0182681079999997E-3</v>
      </c>
      <c r="G56" s="1009"/>
      <c r="H56" s="1009">
        <f>'67'!$Y$29</f>
        <v>1.3500000000000001E-3</v>
      </c>
      <c r="I56" s="1009"/>
      <c r="J56" s="1009">
        <f t="shared" si="1"/>
        <v>1.6841340539999999E-3</v>
      </c>
      <c r="K56" s="1018">
        <v>4.9638690283364099E-4</v>
      </c>
    </row>
    <row r="57" spans="1:11" ht="15.75" x14ac:dyDescent="0.25">
      <c r="A57" s="837">
        <f>'68'!C3</f>
        <v>68</v>
      </c>
      <c r="B57" s="1017" t="s">
        <v>210</v>
      </c>
      <c r="C57" s="1017" t="s">
        <v>297</v>
      </c>
      <c r="D57" s="1010">
        <v>2.5499999999999998</v>
      </c>
      <c r="E57" s="1005" t="s">
        <v>8</v>
      </c>
      <c r="F57" s="1009">
        <f>'68'!$W$24</f>
        <v>1.9597706999999998E-3</v>
      </c>
      <c r="G57" s="1009"/>
      <c r="H57" s="1009"/>
      <c r="I57" s="1009">
        <f>'68'!$W$29</f>
        <v>9.7000000000000005E-4</v>
      </c>
      <c r="J57" s="1009">
        <f t="shared" si="1"/>
        <v>1.4648853499999999E-3</v>
      </c>
      <c r="K57" s="1009"/>
    </row>
    <row r="58" spans="1:11" ht="15.75" x14ac:dyDescent="0.25">
      <c r="A58" s="837">
        <f>'69'!C3</f>
        <v>69</v>
      </c>
      <c r="B58" s="1017" t="s">
        <v>210</v>
      </c>
      <c r="C58" s="1017" t="s">
        <v>298</v>
      </c>
      <c r="D58" s="1010">
        <v>2.85</v>
      </c>
      <c r="E58" s="1005" t="s">
        <v>8</v>
      </c>
      <c r="F58" s="1009">
        <f>'69'!$W$24</f>
        <v>1.8172907999999997E-3</v>
      </c>
      <c r="G58" s="1009"/>
      <c r="H58" s="1009"/>
      <c r="I58" s="1009">
        <f>'69'!$W$29</f>
        <v>8.9999999999999998E-4</v>
      </c>
      <c r="J58" s="1009">
        <f t="shared" si="1"/>
        <v>1.3586453999999998E-3</v>
      </c>
      <c r="K58" s="1009"/>
    </row>
    <row r="59" spans="1:11" ht="15.75" x14ac:dyDescent="0.25">
      <c r="A59" s="837">
        <f>'70'!C3</f>
        <v>70</v>
      </c>
      <c r="B59" s="1017" t="s">
        <v>210</v>
      </c>
      <c r="C59" s="1017" t="s">
        <v>299</v>
      </c>
      <c r="D59" s="1010">
        <v>3.15</v>
      </c>
      <c r="E59" s="1005" t="s">
        <v>8</v>
      </c>
      <c r="F59" s="1009">
        <f>'70'!$W$24</f>
        <v>2.2618998954799991E-3</v>
      </c>
      <c r="G59" s="1009"/>
      <c r="H59" s="1009">
        <f>'70'!$Y$29</f>
        <v>1.1000000000000001E-3</v>
      </c>
      <c r="I59" s="1009"/>
      <c r="J59" s="1009">
        <f t="shared" si="1"/>
        <v>1.6809499477399995E-3</v>
      </c>
      <c r="K59" s="1018">
        <v>4.8864313958671174E-4</v>
      </c>
    </row>
    <row r="60" spans="1:11" ht="15.75" x14ac:dyDescent="0.25">
      <c r="A60" s="837">
        <f>'71'!C3</f>
        <v>71</v>
      </c>
      <c r="B60" s="1017" t="s">
        <v>210</v>
      </c>
      <c r="C60" s="1017" t="s">
        <v>300</v>
      </c>
      <c r="D60" s="1010">
        <v>3.45</v>
      </c>
      <c r="E60" s="1005" t="s">
        <v>8</v>
      </c>
      <c r="F60" s="1009">
        <f>'71'!$W$24</f>
        <v>4.229890699999999E-3</v>
      </c>
      <c r="G60" s="1009"/>
      <c r="H60" s="1009">
        <f>'71'!$Y$29</f>
        <v>2.5500000000000002E-3</v>
      </c>
      <c r="I60" s="1009"/>
      <c r="J60" s="1009">
        <f t="shared" si="1"/>
        <v>3.3899453499999996E-3</v>
      </c>
      <c r="K60" s="1018">
        <v>8.4783001808644677E-4</v>
      </c>
    </row>
    <row r="61" spans="1:11" ht="15.75" x14ac:dyDescent="0.25">
      <c r="A61" s="837">
        <f>'72'!$C$3</f>
        <v>72</v>
      </c>
      <c r="B61" s="1017" t="s">
        <v>240</v>
      </c>
      <c r="C61" s="1017" t="s">
        <v>230</v>
      </c>
      <c r="D61" s="1017">
        <v>3.75</v>
      </c>
      <c r="E61" s="1005" t="s">
        <v>8</v>
      </c>
      <c r="F61" s="1009">
        <f>'72'!$W$24</f>
        <v>3.2994431869999988E-3</v>
      </c>
      <c r="G61" s="1009"/>
      <c r="H61" s="1009">
        <f>'72'!$Y$29</f>
        <v>1.7600000000000001E-3</v>
      </c>
      <c r="I61" s="1009"/>
      <c r="J61" s="1009">
        <f t="shared" si="1"/>
        <v>2.5297215934999995E-3</v>
      </c>
      <c r="K61" s="1018">
        <v>1.6617653070176192E-4</v>
      </c>
    </row>
    <row r="62" spans="1:11" ht="15.75" x14ac:dyDescent="0.25">
      <c r="A62" s="837">
        <v>73</v>
      </c>
      <c r="B62" s="1017" t="s">
        <v>146</v>
      </c>
      <c r="C62" s="1017" t="s">
        <v>229</v>
      </c>
      <c r="D62" s="1010">
        <v>4.05</v>
      </c>
      <c r="E62" s="1005" t="s">
        <v>145</v>
      </c>
      <c r="F62" s="1009">
        <f>'73'!W24</f>
        <v>2.2184426298799994E-3</v>
      </c>
      <c r="G62" s="1009"/>
      <c r="H62" s="1009">
        <f>'73'!$Y$29</f>
        <v>1.2999999999999999E-3</v>
      </c>
      <c r="I62" s="1009"/>
      <c r="J62" s="1009">
        <f t="shared" si="1"/>
        <v>1.7592213149399997E-3</v>
      </c>
      <c r="K62" s="1018">
        <v>4.2053322178009533E-4</v>
      </c>
    </row>
    <row r="63" spans="1:11" ht="15.75" x14ac:dyDescent="0.25">
      <c r="A63" s="837">
        <f>'74'!$C$3</f>
        <v>74</v>
      </c>
      <c r="B63" s="1017" t="s">
        <v>240</v>
      </c>
      <c r="C63" s="1017" t="s">
        <v>241</v>
      </c>
      <c r="D63" s="1010">
        <v>4.3499999999999996</v>
      </c>
      <c r="E63" s="1005" t="s">
        <v>145</v>
      </c>
      <c r="F63" s="1009">
        <f>'74'!$W$24</f>
        <v>3.871151999999999E-4</v>
      </c>
      <c r="G63" s="1009"/>
      <c r="H63" s="1009"/>
      <c r="I63" s="1009">
        <f>'74'!$W$29</f>
        <v>2.05E-4</v>
      </c>
      <c r="J63" s="1009">
        <f t="shared" si="1"/>
        <v>2.9605759999999995E-4</v>
      </c>
      <c r="K63" s="1009"/>
    </row>
    <row r="64" spans="1:11" ht="15.75" x14ac:dyDescent="0.25">
      <c r="A64" s="837">
        <v>75</v>
      </c>
      <c r="B64" s="1017" t="s">
        <v>146</v>
      </c>
      <c r="C64" s="1017" t="s">
        <v>228</v>
      </c>
      <c r="D64" s="1010">
        <v>4.6500000000000004</v>
      </c>
      <c r="E64" s="1005" t="s">
        <v>145</v>
      </c>
      <c r="F64" s="1009">
        <f>'75'!W24</f>
        <v>1.8641866999999999E-3</v>
      </c>
      <c r="G64" s="1009"/>
      <c r="H64" s="1009"/>
      <c r="I64" s="1009">
        <f>'75'!$W$29</f>
        <v>9.0499999999999999E-4</v>
      </c>
      <c r="J64" s="1009">
        <f t="shared" si="1"/>
        <v>1.3845933499999998E-3</v>
      </c>
      <c r="K64" s="1009"/>
    </row>
    <row r="65" spans="1:11" ht="15.75" x14ac:dyDescent="0.25">
      <c r="A65" s="837">
        <v>76</v>
      </c>
      <c r="B65" s="1017" t="s">
        <v>148</v>
      </c>
      <c r="C65" s="1017" t="s">
        <v>226</v>
      </c>
      <c r="D65" s="1010">
        <v>4.95</v>
      </c>
      <c r="E65" s="1005" t="s">
        <v>145</v>
      </c>
      <c r="F65" s="1009">
        <f>'76'!W24</f>
        <v>2.0905999857199994E-3</v>
      </c>
      <c r="G65" s="1009"/>
      <c r="H65" s="1009">
        <f>'76'!$Y$29</f>
        <v>1.24E-3</v>
      </c>
      <c r="I65" s="1009"/>
      <c r="J65" s="1009">
        <f t="shared" si="1"/>
        <v>1.6652999928599998E-3</v>
      </c>
      <c r="K65" s="1018">
        <v>1.8624039022680368E-4</v>
      </c>
    </row>
    <row r="66" spans="1:11" ht="15.75" x14ac:dyDescent="0.25">
      <c r="A66" s="837">
        <v>77</v>
      </c>
      <c r="B66" s="1017" t="s">
        <v>182</v>
      </c>
      <c r="C66" s="1017" t="s">
        <v>225</v>
      </c>
      <c r="D66" s="1010">
        <v>5.25</v>
      </c>
      <c r="E66" s="1005" t="s">
        <v>8</v>
      </c>
      <c r="F66" s="1009">
        <f>'77'!W24</f>
        <v>4.1028954079999989E-3</v>
      </c>
      <c r="G66" s="1009"/>
      <c r="H66" s="1009">
        <f>'77'!$Y$29</f>
        <v>2.5999999999999999E-3</v>
      </c>
      <c r="I66" s="1009"/>
      <c r="J66" s="1009">
        <f t="shared" ref="J66:J97" si="2">SUM(F66:I66)/COUNT(F66:I66)</f>
        <v>3.3514477039999994E-3</v>
      </c>
      <c r="K66" s="1015">
        <v>5.5074368126294583E-6</v>
      </c>
    </row>
    <row r="67" spans="1:11" ht="15.75" x14ac:dyDescent="0.25">
      <c r="A67" s="837">
        <v>78</v>
      </c>
      <c r="B67" s="1017" t="s">
        <v>182</v>
      </c>
      <c r="C67" s="1017" t="s">
        <v>222</v>
      </c>
      <c r="D67" s="1010">
        <v>5.55</v>
      </c>
      <c r="E67" s="1005" t="s">
        <v>145</v>
      </c>
      <c r="F67" s="1009">
        <f>'78'!W24</f>
        <v>3.4006666429999984E-3</v>
      </c>
      <c r="G67" s="1009"/>
      <c r="H67" s="1009">
        <f>'78'!$Y$29</f>
        <v>2.0999999999999999E-3</v>
      </c>
      <c r="I67" s="1009"/>
      <c r="J67" s="1009">
        <f t="shared" si="2"/>
        <v>2.7503333214999991E-3</v>
      </c>
      <c r="K67" s="1018">
        <v>5.3297418888304947E-4</v>
      </c>
    </row>
    <row r="68" spans="1:11" ht="15.75" x14ac:dyDescent="0.25">
      <c r="A68" s="837">
        <f>'79'!$C$3</f>
        <v>79</v>
      </c>
      <c r="B68" s="1017" t="s">
        <v>182</v>
      </c>
      <c r="C68" s="1017" t="s">
        <v>248</v>
      </c>
      <c r="D68" s="1010">
        <v>5.85</v>
      </c>
      <c r="E68" s="1005" t="s">
        <v>145</v>
      </c>
      <c r="F68" s="1009">
        <f>'79'!$W$24</f>
        <v>6.643283947199999E-4</v>
      </c>
      <c r="G68" s="1009"/>
      <c r="H68" s="1009">
        <f>'79'!$Y$29</f>
        <v>3.7500000000000001E-4</v>
      </c>
      <c r="I68" s="1009"/>
      <c r="J68" s="1009">
        <f t="shared" si="2"/>
        <v>5.1966419735999996E-4</v>
      </c>
      <c r="K68" s="1018">
        <v>1.7428932515168596E-4</v>
      </c>
    </row>
    <row r="69" spans="1:11" ht="15.75" x14ac:dyDescent="0.25">
      <c r="A69" s="837">
        <f>'80'!$C$3</f>
        <v>80</v>
      </c>
      <c r="B69" s="1017" t="s">
        <v>178</v>
      </c>
      <c r="C69" s="1017" t="s">
        <v>311</v>
      </c>
      <c r="D69" s="1010">
        <v>6.15</v>
      </c>
      <c r="E69" s="1005" t="s">
        <v>8</v>
      </c>
      <c r="F69" s="1009">
        <f>'80'!$W$24</f>
        <v>7.095880161199999E-4</v>
      </c>
      <c r="G69" s="1009"/>
      <c r="H69" s="1009">
        <f>'80'!$Y$29</f>
        <v>3.6999999999999999E-4</v>
      </c>
      <c r="I69" s="1009"/>
      <c r="J69" s="1009">
        <f t="shared" si="2"/>
        <v>5.3979400805999995E-4</v>
      </c>
      <c r="K69" s="1018">
        <v>3.6616392814826554E-5</v>
      </c>
    </row>
    <row r="70" spans="1:11" ht="15.75" x14ac:dyDescent="0.25">
      <c r="A70" s="837">
        <f>'81'!$C$3</f>
        <v>81</v>
      </c>
      <c r="B70" s="1017" t="s">
        <v>178</v>
      </c>
      <c r="C70" s="1017" t="s">
        <v>213</v>
      </c>
      <c r="D70" s="1010">
        <v>6.45</v>
      </c>
      <c r="E70" s="1005" t="s">
        <v>8</v>
      </c>
      <c r="F70" s="1009">
        <f>'81'!$W$24</f>
        <v>1.8172907999999997E-3</v>
      </c>
      <c r="G70" s="1009"/>
      <c r="H70" s="1009"/>
      <c r="I70" s="1009">
        <f>'81'!$W$29</f>
        <v>8.8999999999999995E-4</v>
      </c>
      <c r="J70" s="1009">
        <f t="shared" si="2"/>
        <v>1.3536453999999998E-3</v>
      </c>
      <c r="K70" s="1009"/>
    </row>
    <row r="71" spans="1:11" ht="15.75" x14ac:dyDescent="0.25">
      <c r="A71" s="837">
        <f>'82'!$C$3</f>
        <v>82</v>
      </c>
      <c r="B71" s="1017" t="s">
        <v>178</v>
      </c>
      <c r="C71" s="1017" t="s">
        <v>214</v>
      </c>
      <c r="D71" s="1010">
        <v>6.75</v>
      </c>
      <c r="E71" s="1005" t="s">
        <v>8</v>
      </c>
      <c r="F71" s="1009">
        <f>'82'!$W$24</f>
        <v>1.1482027999999997E-3</v>
      </c>
      <c r="G71" s="1009"/>
      <c r="H71" s="1009"/>
      <c r="I71" s="1009">
        <f>'82'!$W$29</f>
        <v>5.9999999999999995E-4</v>
      </c>
      <c r="J71" s="1009">
        <f t="shared" si="2"/>
        <v>8.7410139999999988E-4</v>
      </c>
      <c r="K71" s="1009"/>
    </row>
    <row r="72" spans="1:11" ht="15.75" x14ac:dyDescent="0.25">
      <c r="A72" s="837">
        <v>83</v>
      </c>
      <c r="B72" s="1017" t="s">
        <v>178</v>
      </c>
      <c r="C72" s="1017" t="s">
        <v>237</v>
      </c>
      <c r="D72" s="1010">
        <v>7.05</v>
      </c>
      <c r="E72" s="1005" t="s">
        <v>8</v>
      </c>
      <c r="F72" s="1009">
        <f>'83'!W24</f>
        <v>3.1076747999999989E-3</v>
      </c>
      <c r="G72" s="1009"/>
      <c r="H72" s="1009"/>
      <c r="I72" s="1009">
        <f>'83'!$W$29</f>
        <v>1.5100000000000001E-3</v>
      </c>
      <c r="J72" s="1009">
        <f t="shared" si="2"/>
        <v>2.3088373999999995E-3</v>
      </c>
      <c r="K72" s="1009"/>
    </row>
    <row r="73" spans="1:11" ht="15.75" x14ac:dyDescent="0.25">
      <c r="A73" s="837">
        <v>84</v>
      </c>
      <c r="B73" s="1017" t="s">
        <v>181</v>
      </c>
      <c r="C73" s="1017" t="s">
        <v>246</v>
      </c>
      <c r="D73" s="1010">
        <v>7.35</v>
      </c>
      <c r="E73" s="1005" t="s">
        <v>8</v>
      </c>
      <c r="F73" s="1009">
        <f>'84'!W24</f>
        <v>2.1237158988799991E-3</v>
      </c>
      <c r="G73" s="1009"/>
      <c r="H73" s="1009">
        <f>'84'!$Y$29</f>
        <v>1.15E-3</v>
      </c>
      <c r="I73" s="1009"/>
      <c r="J73" s="1009">
        <f t="shared" si="2"/>
        <v>1.6368579494399995E-3</v>
      </c>
      <c r="K73" s="1018">
        <v>5.5374789582749481E-4</v>
      </c>
    </row>
    <row r="74" spans="1:11" ht="15.75" x14ac:dyDescent="0.25">
      <c r="A74" s="837">
        <f>'85'!$C$3</f>
        <v>85</v>
      </c>
      <c r="B74" s="1017" t="s">
        <v>181</v>
      </c>
      <c r="C74" s="1017" t="s">
        <v>239</v>
      </c>
      <c r="D74" s="1010">
        <v>7.65</v>
      </c>
      <c r="E74" s="1005" t="s">
        <v>8</v>
      </c>
      <c r="F74" s="1009">
        <f>'85'!$W$24</f>
        <v>2.1076271999999991E-3</v>
      </c>
      <c r="G74" s="1009"/>
      <c r="H74" s="1009"/>
      <c r="I74" s="1009">
        <f>'85'!$W$29</f>
        <v>1.1000000000000001E-3</v>
      </c>
      <c r="J74" s="1009">
        <f t="shared" si="2"/>
        <v>1.6038135999999997E-3</v>
      </c>
      <c r="K74" s="1009"/>
    </row>
    <row r="75" spans="1:11" ht="15.75" x14ac:dyDescent="0.25">
      <c r="A75" s="837">
        <f>'86'!$C$3</f>
        <v>86</v>
      </c>
      <c r="B75" s="1017" t="s">
        <v>181</v>
      </c>
      <c r="C75" s="1017" t="s">
        <v>243</v>
      </c>
      <c r="D75" s="1010">
        <v>8.25</v>
      </c>
      <c r="E75" s="1005" t="s">
        <v>8</v>
      </c>
      <c r="F75" s="1009">
        <f>'86'!$W$24</f>
        <v>3.3561931999999996E-3</v>
      </c>
      <c r="G75" s="1009"/>
      <c r="H75" s="1009"/>
      <c r="I75" s="1009">
        <f>'86'!$W$29</f>
        <v>1.75E-3</v>
      </c>
      <c r="J75" s="1009">
        <f t="shared" si="2"/>
        <v>2.5530965999999997E-3</v>
      </c>
      <c r="K75" s="1009">
        <v>2.080843390356914E-4</v>
      </c>
    </row>
    <row r="76" spans="1:11" ht="15.75" x14ac:dyDescent="0.25">
      <c r="A76" s="837">
        <v>87</v>
      </c>
      <c r="B76" s="1017" t="s">
        <v>181</v>
      </c>
      <c r="C76" s="1017" t="s">
        <v>249</v>
      </c>
      <c r="D76" s="1010">
        <v>8.5500000000000007</v>
      </c>
      <c r="E76" s="1005" t="s">
        <v>145</v>
      </c>
      <c r="F76" s="1009">
        <f>'87'!W24</f>
        <v>1.0783069999999997E-2</v>
      </c>
      <c r="G76" s="1009"/>
      <c r="H76" s="1009"/>
      <c r="I76" s="1009"/>
      <c r="J76" s="1009">
        <f t="shared" si="2"/>
        <v>1.0783069999999997E-2</v>
      </c>
      <c r="K76" s="1009"/>
    </row>
    <row r="77" spans="1:11" ht="15.75" x14ac:dyDescent="0.25">
      <c r="A77" s="837">
        <v>88</v>
      </c>
      <c r="B77" s="1017" t="s">
        <v>174</v>
      </c>
      <c r="C77" s="1017" t="s">
        <v>245</v>
      </c>
      <c r="D77" s="1010">
        <v>8.85</v>
      </c>
      <c r="E77" s="1005" t="s">
        <v>8</v>
      </c>
      <c r="F77" s="1009">
        <f>'88'!W24</f>
        <v>4.7421611999999991E-3</v>
      </c>
      <c r="G77" s="1009"/>
      <c r="H77" s="1009"/>
      <c r="I77" s="1009"/>
      <c r="J77" s="1009">
        <f t="shared" si="2"/>
        <v>4.7421611999999991E-3</v>
      </c>
      <c r="K77" s="1009"/>
    </row>
    <row r="78" spans="1:11" ht="15.75" x14ac:dyDescent="0.25">
      <c r="A78" s="837">
        <v>89</v>
      </c>
      <c r="B78" s="1017" t="s">
        <v>174</v>
      </c>
      <c r="C78" s="1017" t="s">
        <v>233</v>
      </c>
      <c r="D78" s="1010">
        <v>9.15</v>
      </c>
      <c r="E78" s="1005" t="s">
        <v>8</v>
      </c>
      <c r="F78" s="1009">
        <f>'89'!W24</f>
        <v>7.8390827999999992E-3</v>
      </c>
      <c r="G78" s="1009"/>
      <c r="H78" s="1009"/>
      <c r="I78" s="1009"/>
      <c r="J78" s="1009">
        <f t="shared" si="2"/>
        <v>7.8390827999999992E-3</v>
      </c>
      <c r="K78" s="1009"/>
    </row>
    <row r="79" spans="1:11" ht="15.75" x14ac:dyDescent="0.25">
      <c r="A79" s="837">
        <v>90</v>
      </c>
      <c r="B79" s="1017" t="s">
        <v>174</v>
      </c>
      <c r="C79" s="1017" t="s">
        <v>234</v>
      </c>
      <c r="D79" s="1010">
        <v>9.4499999999999993</v>
      </c>
      <c r="E79" s="1005" t="s">
        <v>8</v>
      </c>
      <c r="F79" s="1009">
        <f>'90'!W24</f>
        <v>2.1076271999999991E-3</v>
      </c>
      <c r="G79" s="1009"/>
      <c r="H79" s="1009"/>
      <c r="I79" s="1009">
        <f>'90'!$W$29</f>
        <v>1.1999999999999999E-3</v>
      </c>
      <c r="J79" s="1009">
        <f t="shared" si="2"/>
        <v>1.6538135999999994E-3</v>
      </c>
      <c r="K79" s="1009"/>
    </row>
    <row r="80" spans="1:11" ht="15.75" x14ac:dyDescent="0.25">
      <c r="A80" s="837">
        <v>91</v>
      </c>
      <c r="B80" s="1017" t="s">
        <v>149</v>
      </c>
      <c r="C80" s="1017" t="s">
        <v>328</v>
      </c>
      <c r="D80" s="1010">
        <v>9.75</v>
      </c>
      <c r="E80" s="1005" t="s">
        <v>145</v>
      </c>
      <c r="F80" s="1009">
        <f>'91'!W24</f>
        <v>4.8177322999999987E-3</v>
      </c>
      <c r="G80" s="1009"/>
      <c r="H80" s="1009"/>
      <c r="I80" s="1009"/>
      <c r="J80" s="1009">
        <f t="shared" si="2"/>
        <v>4.8177322999999987E-3</v>
      </c>
      <c r="K80" s="1009">
        <v>2.9068388944616919E-4</v>
      </c>
    </row>
    <row r="81" spans="1:11" ht="15.75" x14ac:dyDescent="0.25">
      <c r="A81" s="837">
        <v>92</v>
      </c>
      <c r="B81" s="1017" t="s">
        <v>175</v>
      </c>
      <c r="C81" s="1017" t="s">
        <v>235</v>
      </c>
      <c r="D81" s="1010">
        <v>10.199999999999999</v>
      </c>
      <c r="E81" s="1005" t="s">
        <v>8</v>
      </c>
      <c r="F81" s="1009">
        <f>'92'!W24</f>
        <v>4.0040760090799985E-3</v>
      </c>
      <c r="G81" s="1009"/>
      <c r="H81" s="1009">
        <f>'92'!$Y$29</f>
        <v>1.8500000000000001E-3</v>
      </c>
      <c r="I81" s="1009"/>
      <c r="J81" s="1009">
        <f t="shared" si="2"/>
        <v>2.9270380045399993E-3</v>
      </c>
      <c r="K81" s="1018">
        <v>6.0712539171985764E-4</v>
      </c>
    </row>
    <row r="82" spans="1:11" ht="15.75" x14ac:dyDescent="0.25">
      <c r="A82" s="837">
        <v>93</v>
      </c>
      <c r="B82" s="1017" t="s">
        <v>175</v>
      </c>
      <c r="C82" s="1017" t="s">
        <v>236</v>
      </c>
      <c r="D82" s="1010">
        <v>10.8</v>
      </c>
      <c r="E82" s="1005" t="s">
        <v>8</v>
      </c>
      <c r="F82" s="1009">
        <f>'93'!W24</f>
        <v>8.2309771999999962E-3</v>
      </c>
      <c r="G82" s="1009"/>
      <c r="H82" s="1009"/>
      <c r="I82" s="1009"/>
      <c r="J82" s="1009">
        <f t="shared" si="2"/>
        <v>8.2309771999999962E-3</v>
      </c>
      <c r="K82" s="1009"/>
    </row>
    <row r="83" spans="1:11" ht="15.75" x14ac:dyDescent="0.25">
      <c r="A83" s="837">
        <v>94</v>
      </c>
      <c r="B83" s="1017" t="s">
        <v>176</v>
      </c>
      <c r="C83" s="1017" t="s">
        <v>320</v>
      </c>
      <c r="D83" s="1010">
        <v>11.65</v>
      </c>
      <c r="E83" s="1005" t="s">
        <v>8</v>
      </c>
      <c r="F83" s="1009">
        <f>'94'!W24</f>
        <v>3.871151999999999E-4</v>
      </c>
      <c r="G83" s="1009"/>
      <c r="H83" s="1009"/>
      <c r="I83" s="1009">
        <f>'94'!$W$29</f>
        <v>2.05E-4</v>
      </c>
      <c r="J83" s="1009">
        <f t="shared" si="2"/>
        <v>2.9605759999999995E-4</v>
      </c>
      <c r="K83" s="1009"/>
    </row>
    <row r="84" spans="1:11" ht="15.75" x14ac:dyDescent="0.25">
      <c r="A84" s="837">
        <v>95</v>
      </c>
      <c r="B84" s="1017" t="s">
        <v>179</v>
      </c>
      <c r="C84" s="1017" t="s">
        <v>307</v>
      </c>
      <c r="D84" s="1010">
        <v>12.34</v>
      </c>
      <c r="E84" s="1005" t="s">
        <v>8</v>
      </c>
      <c r="F84" s="1009">
        <f>'95'!W24</f>
        <v>4.3132279999999988E-4</v>
      </c>
      <c r="G84" s="1009"/>
      <c r="H84" s="1009"/>
      <c r="I84" s="1009">
        <f>'95'!$W$29</f>
        <v>2.1499999999999999E-4</v>
      </c>
      <c r="J84" s="1009">
        <f t="shared" si="2"/>
        <v>3.2316139999999995E-4</v>
      </c>
      <c r="K84" s="1009">
        <v>1.409018620808933E-4</v>
      </c>
    </row>
    <row r="85" spans="1:11" s="1012" customFormat="1" ht="15.75" x14ac:dyDescent="0.25">
      <c r="A85" s="1004">
        <v>96</v>
      </c>
      <c r="B85" s="1020" t="s">
        <v>179</v>
      </c>
      <c r="C85" s="1020" t="s">
        <v>308</v>
      </c>
      <c r="D85" s="1014">
        <v>12.64</v>
      </c>
      <c r="E85" s="1011" t="s">
        <v>8</v>
      </c>
      <c r="F85" s="1013">
        <f>'96'!W24</f>
        <v>6.3204919999999994E-4</v>
      </c>
      <c r="G85" s="1013"/>
      <c r="H85" s="1013"/>
      <c r="I85" s="1013">
        <f>'96'!$W$29</f>
        <v>3.3E-4</v>
      </c>
      <c r="J85" s="1013">
        <f t="shared" si="2"/>
        <v>4.8102459999999997E-4</v>
      </c>
      <c r="K85" s="1013">
        <v>3.1795163037905009E-4</v>
      </c>
    </row>
    <row r="86" spans="1:11" ht="15.75" x14ac:dyDescent="0.25">
      <c r="A86" s="837">
        <v>97</v>
      </c>
      <c r="B86" s="1017" t="s">
        <v>169</v>
      </c>
      <c r="C86" s="1017" t="s">
        <v>318</v>
      </c>
      <c r="D86" s="1010">
        <v>1.4</v>
      </c>
      <c r="E86" s="1005" t="s">
        <v>145</v>
      </c>
      <c r="F86" s="1009">
        <f>'97'!W24</f>
        <v>1.1482027999999996E-5</v>
      </c>
      <c r="G86" s="1009"/>
      <c r="H86" s="1009"/>
      <c r="I86" s="1009"/>
      <c r="J86" s="1009">
        <f t="shared" si="2"/>
        <v>1.1482027999999996E-5</v>
      </c>
      <c r="K86" s="1009"/>
    </row>
    <row r="87" spans="1:11" ht="15.75" x14ac:dyDescent="0.25">
      <c r="A87" s="837">
        <v>98</v>
      </c>
      <c r="B87" s="1017" t="s">
        <v>169</v>
      </c>
      <c r="C87" s="1017" t="s">
        <v>231</v>
      </c>
      <c r="D87" s="1010">
        <v>1.8</v>
      </c>
      <c r="E87" s="1005" t="s">
        <v>145</v>
      </c>
      <c r="F87" s="1009">
        <f>'98'!W24</f>
        <v>3.8325372587999995E-4</v>
      </c>
      <c r="G87" s="1009"/>
      <c r="H87" s="1009">
        <f>'98'!$Y$29</f>
        <v>3.1500000000000001E-4</v>
      </c>
      <c r="I87" s="1009"/>
      <c r="J87" s="1009">
        <f t="shared" si="2"/>
        <v>3.4912686294000001E-4</v>
      </c>
      <c r="K87" s="1018">
        <v>9.0522713412423617E-5</v>
      </c>
    </row>
    <row r="88" spans="1:11" ht="15.75" x14ac:dyDescent="0.25">
      <c r="A88" s="837">
        <f>'99'!$C$3</f>
        <v>99</v>
      </c>
      <c r="B88" s="1017" t="s">
        <v>169</v>
      </c>
      <c r="C88" s="1017" t="s">
        <v>313</v>
      </c>
      <c r="D88" s="1010">
        <v>2.2000000000000002</v>
      </c>
      <c r="E88" s="1005" t="s">
        <v>145</v>
      </c>
      <c r="F88" s="1009">
        <f>'99'!$W$24</f>
        <v>1.0753199999999997E-7</v>
      </c>
      <c r="G88" s="1009"/>
      <c r="H88" s="1009"/>
      <c r="I88" s="1009"/>
      <c r="J88" s="1009">
        <f t="shared" si="2"/>
        <v>1.0753199999999997E-7</v>
      </c>
      <c r="K88" s="1009"/>
    </row>
    <row r="89" spans="1:11" ht="15.75" x14ac:dyDescent="0.25">
      <c r="A89" s="837">
        <v>100</v>
      </c>
      <c r="B89" s="1017" t="s">
        <v>150</v>
      </c>
      <c r="C89" s="1017" t="s">
        <v>216</v>
      </c>
      <c r="D89" s="1010">
        <v>2.5499999999999998</v>
      </c>
      <c r="E89" s="1005" t="s">
        <v>145</v>
      </c>
      <c r="F89" s="1009">
        <f>'100'!W24</f>
        <v>4.7791999999999991E-6</v>
      </c>
      <c r="G89" s="1009"/>
      <c r="H89" s="1009"/>
      <c r="I89" s="1009"/>
      <c r="J89" s="1009">
        <f t="shared" si="2"/>
        <v>4.7791999999999991E-6</v>
      </c>
      <c r="K89" s="1009"/>
    </row>
    <row r="90" spans="1:11" ht="15.75" x14ac:dyDescent="0.25">
      <c r="A90" s="837">
        <v>101</v>
      </c>
      <c r="B90" s="1017" t="s">
        <v>150</v>
      </c>
      <c r="C90" s="1017" t="s">
        <v>219</v>
      </c>
      <c r="D90" s="1010">
        <v>2.85</v>
      </c>
      <c r="E90" s="1005" t="s">
        <v>145</v>
      </c>
      <c r="F90" s="1009">
        <f>'101'!W24</f>
        <v>2.2091851999999997E-7</v>
      </c>
      <c r="G90" s="1009"/>
      <c r="H90" s="1009"/>
      <c r="I90" s="1009"/>
      <c r="J90" s="1009">
        <f t="shared" si="2"/>
        <v>2.2091851999999997E-7</v>
      </c>
      <c r="K90" s="1009"/>
    </row>
    <row r="91" spans="1:11" ht="15.75" x14ac:dyDescent="0.25">
      <c r="A91" s="837">
        <v>102</v>
      </c>
      <c r="B91" s="1017" t="s">
        <v>150</v>
      </c>
      <c r="C91" s="1017" t="s">
        <v>227</v>
      </c>
      <c r="D91" s="1010">
        <v>3.15</v>
      </c>
      <c r="E91" s="1005" t="s">
        <v>145</v>
      </c>
      <c r="F91" s="1009">
        <f>'102'!W24</f>
        <v>4.7791999999999991E-6</v>
      </c>
      <c r="G91" s="1009"/>
      <c r="H91" s="1009"/>
      <c r="I91" s="1009"/>
      <c r="J91" s="1009">
        <f t="shared" si="2"/>
        <v>4.7791999999999991E-6</v>
      </c>
      <c r="K91" s="1009"/>
    </row>
    <row r="92" spans="1:11" ht="15.75" x14ac:dyDescent="0.25">
      <c r="A92" s="837">
        <v>103</v>
      </c>
      <c r="B92" s="1017" t="s">
        <v>184</v>
      </c>
      <c r="C92" s="1017" t="s">
        <v>224</v>
      </c>
      <c r="D92" s="1010">
        <v>3.45</v>
      </c>
      <c r="E92" s="1005" t="s">
        <v>145</v>
      </c>
      <c r="F92" s="1009">
        <f>'103'!W24</f>
        <v>1.0048267999999997E-3</v>
      </c>
      <c r="G92" s="1009"/>
      <c r="H92" s="1009"/>
      <c r="I92" s="1009">
        <f>'103'!$W$29</f>
        <v>5.1000000000000004E-4</v>
      </c>
      <c r="J92" s="1009">
        <f t="shared" si="2"/>
        <v>7.5741339999999989E-4</v>
      </c>
      <c r="K92" s="1009"/>
    </row>
    <row r="93" spans="1:11" ht="15.75" x14ac:dyDescent="0.25">
      <c r="A93" s="837">
        <v>104</v>
      </c>
      <c r="B93" s="1017" t="s">
        <v>173</v>
      </c>
      <c r="C93" s="1017" t="s">
        <v>319</v>
      </c>
      <c r="D93" s="1010">
        <v>3.8</v>
      </c>
      <c r="E93" s="1005" t="s">
        <v>145</v>
      </c>
      <c r="F93" s="1009">
        <f>'104'!W24</f>
        <v>2.5281967999999991E-7</v>
      </c>
      <c r="G93" s="1009"/>
      <c r="H93" s="1009"/>
      <c r="I93" s="1009"/>
      <c r="J93" s="1009">
        <f t="shared" si="2"/>
        <v>2.5281967999999991E-7</v>
      </c>
      <c r="K93" s="1009"/>
    </row>
    <row r="94" spans="1:11" ht="15.75" x14ac:dyDescent="0.25">
      <c r="A94" s="837">
        <v>105</v>
      </c>
      <c r="B94" s="1017" t="s">
        <v>151</v>
      </c>
      <c r="C94" s="1017" t="s">
        <v>217</v>
      </c>
      <c r="D94" s="1010">
        <v>4.2</v>
      </c>
      <c r="E94" s="1005" t="s">
        <v>145</v>
      </c>
      <c r="F94" s="1009">
        <f>'105'!W24</f>
        <v>6.5982829999999978E-4</v>
      </c>
      <c r="G94" s="1009"/>
      <c r="H94" s="1009"/>
      <c r="I94" s="1009">
        <f>'105'!$W$29</f>
        <v>3.3E-4</v>
      </c>
      <c r="J94" s="1009">
        <f t="shared" si="2"/>
        <v>4.9491414999999989E-4</v>
      </c>
      <c r="K94" s="1009"/>
    </row>
    <row r="95" spans="1:11" ht="15.75" x14ac:dyDescent="0.25">
      <c r="A95" s="837">
        <v>106</v>
      </c>
      <c r="B95" s="1017" t="s">
        <v>151</v>
      </c>
      <c r="C95" s="1017" t="s">
        <v>223</v>
      </c>
      <c r="D95" s="1010">
        <v>4.5</v>
      </c>
      <c r="E95" s="1005" t="s">
        <v>145</v>
      </c>
      <c r="F95" s="1009">
        <f>'106'!W24</f>
        <v>2.209185199999999E-3</v>
      </c>
      <c r="G95" s="1009"/>
      <c r="H95" s="1009"/>
      <c r="I95" s="1009">
        <f>'106'!$W$29</f>
        <v>1.2999999999999999E-3</v>
      </c>
      <c r="J95" s="1009">
        <f t="shared" si="2"/>
        <v>1.7545925999999995E-3</v>
      </c>
      <c r="K95" s="1009"/>
    </row>
    <row r="96" spans="1:11" ht="15.75" x14ac:dyDescent="0.25">
      <c r="A96" s="837">
        <v>107</v>
      </c>
      <c r="B96" s="1017" t="s">
        <v>152</v>
      </c>
      <c r="C96" s="1017" t="s">
        <v>226</v>
      </c>
      <c r="D96" s="1010">
        <v>4.95</v>
      </c>
      <c r="E96" s="1005" t="s">
        <v>145</v>
      </c>
      <c r="F96" s="1009">
        <f>'107'!W24</f>
        <v>2.0084587999999993E-3</v>
      </c>
      <c r="G96" s="1009"/>
      <c r="H96" s="1009"/>
      <c r="I96" s="1009">
        <f>'107'!$W$29</f>
        <v>1.1000000000000001E-3</v>
      </c>
      <c r="J96" s="1009">
        <f t="shared" si="2"/>
        <v>1.5542293999999996E-3</v>
      </c>
      <c r="K96" s="1009"/>
    </row>
    <row r="97" spans="1:11" ht="15.75" x14ac:dyDescent="0.25">
      <c r="A97" s="837">
        <v>108</v>
      </c>
      <c r="B97" s="1017" t="s">
        <v>152</v>
      </c>
      <c r="C97" s="1017" t="s">
        <v>225</v>
      </c>
      <c r="D97" s="1010">
        <v>5.25</v>
      </c>
      <c r="E97" s="1005" t="s">
        <v>145</v>
      </c>
      <c r="F97" s="1009">
        <f>'108'!W24</f>
        <v>1.1482027999999997E-3</v>
      </c>
      <c r="G97" s="1009"/>
      <c r="H97" s="1009"/>
      <c r="I97" s="1009">
        <f>'108'!$W$29</f>
        <v>5.4000000000000001E-4</v>
      </c>
      <c r="J97" s="1009">
        <f t="shared" si="2"/>
        <v>8.441013999999998E-4</v>
      </c>
      <c r="K97" s="1009"/>
    </row>
    <row r="98" spans="1:11" ht="15.75" x14ac:dyDescent="0.25">
      <c r="A98" s="837">
        <f>'109'!$C$3</f>
        <v>109</v>
      </c>
      <c r="B98" s="1017" t="s">
        <v>186</v>
      </c>
      <c r="C98" s="1017" t="s">
        <v>222</v>
      </c>
      <c r="D98" s="1010">
        <v>5.55</v>
      </c>
      <c r="E98" s="1005" t="s">
        <v>145</v>
      </c>
      <c r="F98" s="1009">
        <f>'109'!$W$24</f>
        <v>1.9116799999999998E-3</v>
      </c>
      <c r="G98" s="1009"/>
      <c r="H98" s="1009">
        <f>'109'!$Y$29</f>
        <v>1.09E-3</v>
      </c>
      <c r="I98" s="1009"/>
      <c r="J98" s="1009">
        <f t="shared" ref="J98:J120" si="3">SUM(F98:I98)/COUNT(F98:I98)</f>
        <v>1.5008399999999998E-3</v>
      </c>
      <c r="K98" s="1018">
        <v>4.4763348942937812E-4</v>
      </c>
    </row>
    <row r="99" spans="1:11" ht="15.75" x14ac:dyDescent="0.25">
      <c r="A99" s="837">
        <v>110</v>
      </c>
      <c r="B99" s="1017" t="s">
        <v>186</v>
      </c>
      <c r="C99" s="1021" t="s">
        <v>248</v>
      </c>
      <c r="D99" s="1010">
        <v>5.85</v>
      </c>
      <c r="E99" s="1005" t="s">
        <v>145</v>
      </c>
      <c r="F99" s="1009">
        <f>'110'!W24</f>
        <v>3.1357680129199994E-3</v>
      </c>
      <c r="G99" s="1009"/>
      <c r="H99" s="1009">
        <f>'110'!$Y$29</f>
        <v>1.65E-3</v>
      </c>
      <c r="I99" s="1009"/>
      <c r="J99" s="1009">
        <f t="shared" si="3"/>
        <v>2.3928840064599997E-3</v>
      </c>
      <c r="K99" s="1018">
        <v>3.3230056362145593E-4</v>
      </c>
    </row>
    <row r="100" spans="1:11" ht="15.75" x14ac:dyDescent="0.25">
      <c r="A100" s="837">
        <f>'111'!$C$3</f>
        <v>111</v>
      </c>
      <c r="B100" s="1017" t="s">
        <v>312</v>
      </c>
      <c r="C100" s="1017" t="s">
        <v>311</v>
      </c>
      <c r="D100" s="1010">
        <v>6.15</v>
      </c>
      <c r="E100" s="1005" t="s">
        <v>145</v>
      </c>
      <c r="F100" s="1009">
        <f>'111'!$W$24</f>
        <v>2.1317831884799993E-3</v>
      </c>
      <c r="G100" s="1009">
        <f>'111'!W27</f>
        <v>1.8178857861119997E-3</v>
      </c>
      <c r="H100" s="1009">
        <f>'111'!$Y$29</f>
        <v>1.6999999999999999E-3</v>
      </c>
      <c r="I100" s="1009"/>
      <c r="J100" s="1009">
        <f t="shared" si="3"/>
        <v>1.8832229915306663E-3</v>
      </c>
      <c r="K100" s="1009"/>
    </row>
    <row r="101" spans="1:11" ht="15.75" x14ac:dyDescent="0.25">
      <c r="A101" s="837">
        <v>112</v>
      </c>
      <c r="B101" s="1017" t="s">
        <v>153</v>
      </c>
      <c r="C101" s="1017" t="s">
        <v>213</v>
      </c>
      <c r="D101" s="1010">
        <v>6.45</v>
      </c>
      <c r="E101" s="1005" t="s">
        <v>145</v>
      </c>
      <c r="F101" s="1009">
        <f>'112'!W24</f>
        <v>2.3289310429999992E-3</v>
      </c>
      <c r="G101" s="1009"/>
      <c r="H101" s="1009">
        <f>'112'!$Y$29</f>
        <v>1.2999999999999999E-3</v>
      </c>
      <c r="I101" s="1009"/>
      <c r="J101" s="1009">
        <f t="shared" si="3"/>
        <v>1.8144655214999996E-3</v>
      </c>
      <c r="K101" s="1018">
        <v>2.3199889071183195E-4</v>
      </c>
    </row>
    <row r="102" spans="1:11" s="1012" customFormat="1" ht="15.75" x14ac:dyDescent="0.25">
      <c r="A102" s="1004">
        <v>113</v>
      </c>
      <c r="B102" s="1020" t="s">
        <v>153</v>
      </c>
      <c r="C102" s="1020" t="s">
        <v>214</v>
      </c>
      <c r="D102" s="1014">
        <v>6.75</v>
      </c>
      <c r="E102" s="1011" t="s">
        <v>145</v>
      </c>
      <c r="F102" s="1013">
        <f>'113'!W24</f>
        <v>2.5281967999999998E-3</v>
      </c>
      <c r="G102" s="1013"/>
      <c r="H102" s="1013"/>
      <c r="I102" s="1013">
        <f>'113'!$W$29</f>
        <v>1.4E-3</v>
      </c>
      <c r="J102" s="1013">
        <f t="shared" si="3"/>
        <v>1.9640983999999998E-3</v>
      </c>
      <c r="K102" s="1013"/>
    </row>
    <row r="103" spans="1:11" ht="15.75" x14ac:dyDescent="0.25">
      <c r="A103" s="837">
        <f>'114'!$C$3</f>
        <v>114</v>
      </c>
      <c r="B103" s="1017" t="s">
        <v>215</v>
      </c>
      <c r="C103" s="1017" t="s">
        <v>216</v>
      </c>
      <c r="D103" s="1010">
        <v>2.5499999999999998</v>
      </c>
      <c r="E103" s="1005" t="s">
        <v>145</v>
      </c>
      <c r="F103" s="1009">
        <f>'114'!$W$24</f>
        <v>4.7421611999999993E-5</v>
      </c>
      <c r="G103" s="1009"/>
      <c r="H103" s="1009"/>
      <c r="I103" s="1009">
        <f>'114'!$W$29</f>
        <v>2.3499999999999999E-5</v>
      </c>
      <c r="J103" s="1009">
        <f t="shared" si="3"/>
        <v>3.5460805999999994E-5</v>
      </c>
      <c r="K103" s="1009"/>
    </row>
    <row r="104" spans="1:11" ht="15.75" x14ac:dyDescent="0.25">
      <c r="A104" s="837">
        <f>'115'!$C$3</f>
        <v>115</v>
      </c>
      <c r="B104" s="1017" t="s">
        <v>215</v>
      </c>
      <c r="C104" s="1017" t="s">
        <v>219</v>
      </c>
      <c r="D104" s="1010">
        <v>2.85</v>
      </c>
      <c r="E104" s="1005" t="s">
        <v>8</v>
      </c>
      <c r="F104" s="1009">
        <f>'115'!$W$24</f>
        <v>3.1369923244799992E-3</v>
      </c>
      <c r="G104" s="1009"/>
      <c r="H104" s="1009">
        <f>'115'!$Y$29</f>
        <v>2.8999999999999998E-3</v>
      </c>
      <c r="I104" s="1009"/>
      <c r="J104" s="1009">
        <f t="shared" si="3"/>
        <v>3.0184961622399995E-3</v>
      </c>
      <c r="K104" s="1018">
        <v>7.0722036203906479E-4</v>
      </c>
    </row>
    <row r="105" spans="1:11" ht="15.75" x14ac:dyDescent="0.25">
      <c r="A105" s="837">
        <v>116</v>
      </c>
      <c r="B105" s="1017" t="s">
        <v>215</v>
      </c>
      <c r="C105" s="1017" t="s">
        <v>227</v>
      </c>
      <c r="D105" s="1010">
        <v>3.15</v>
      </c>
      <c r="E105" s="1005" t="s">
        <v>145</v>
      </c>
      <c r="F105" s="1009">
        <f>'116'!$W$24</f>
        <v>2.3418079999999999E-4</v>
      </c>
      <c r="G105" s="1009"/>
      <c r="H105" s="1009"/>
      <c r="I105" s="1009">
        <f>'116'!$W$29</f>
        <v>1.6000000000000001E-4</v>
      </c>
      <c r="J105" s="1009">
        <f t="shared" si="3"/>
        <v>1.970904E-4</v>
      </c>
      <c r="K105" s="1009"/>
    </row>
    <row r="106" spans="1:11" ht="15.75" x14ac:dyDescent="0.25">
      <c r="A106" s="837">
        <v>117</v>
      </c>
      <c r="B106" s="1017" t="s">
        <v>154</v>
      </c>
      <c r="C106" s="1017" t="s">
        <v>224</v>
      </c>
      <c r="D106" s="1010">
        <v>3.45</v>
      </c>
      <c r="E106" s="1005" t="s">
        <v>145</v>
      </c>
      <c r="F106" s="1009">
        <f>'117'!W24</f>
        <v>5.8545199999999996E-5</v>
      </c>
      <c r="G106" s="1009"/>
      <c r="H106" s="1009"/>
      <c r="I106" s="1009">
        <f>'117'!$W$29</f>
        <v>2.9E-5</v>
      </c>
      <c r="J106" s="1009">
        <f t="shared" si="3"/>
        <v>4.3772600000000002E-5</v>
      </c>
      <c r="K106" s="1009"/>
    </row>
    <row r="107" spans="1:11" ht="15.75" x14ac:dyDescent="0.25">
      <c r="A107" s="837">
        <f>'119'!$C$3</f>
        <v>119</v>
      </c>
      <c r="B107" s="1017" t="s">
        <v>218</v>
      </c>
      <c r="C107" s="1017" t="s">
        <v>217</v>
      </c>
      <c r="D107" s="1010">
        <v>4.2</v>
      </c>
      <c r="E107" s="1005" t="s">
        <v>8</v>
      </c>
      <c r="F107" s="1009">
        <f>'119'!$W$24</f>
        <v>1.3172669999999995E-4</v>
      </c>
      <c r="G107" s="1009"/>
      <c r="H107" s="1009"/>
      <c r="I107" s="1009"/>
      <c r="J107" s="1009">
        <f t="shared" si="3"/>
        <v>1.3172669999999995E-4</v>
      </c>
      <c r="K107" s="1009"/>
    </row>
    <row r="108" spans="1:11" ht="15.75" x14ac:dyDescent="0.25">
      <c r="A108" s="837">
        <v>120</v>
      </c>
      <c r="B108" s="1017" t="s">
        <v>155</v>
      </c>
      <c r="C108" s="1017" t="s">
        <v>223</v>
      </c>
      <c r="D108" s="1010">
        <v>4.5999999999999996</v>
      </c>
      <c r="E108" s="1005" t="s">
        <v>145</v>
      </c>
      <c r="F108" s="1009">
        <f>'120'!W24</f>
        <v>5.2690679999999978E-4</v>
      </c>
      <c r="G108" s="1009"/>
      <c r="H108" s="1009"/>
      <c r="I108" s="1009">
        <f>'120'!$W$29</f>
        <v>2.3000000000000001E-4</v>
      </c>
      <c r="J108" s="1009">
        <f t="shared" si="3"/>
        <v>3.7845339999999987E-4</v>
      </c>
      <c r="K108" s="1009"/>
    </row>
    <row r="109" spans="1:11" ht="15.75" x14ac:dyDescent="0.25">
      <c r="A109" s="837">
        <f>'121'!$C$3</f>
        <v>121</v>
      </c>
      <c r="B109" s="1017" t="s">
        <v>242</v>
      </c>
      <c r="C109" s="1017" t="s">
        <v>304</v>
      </c>
      <c r="D109" s="1017" t="s">
        <v>305</v>
      </c>
      <c r="E109" s="1005" t="s">
        <v>145</v>
      </c>
      <c r="F109" s="1009">
        <f>'121'!$W$24</f>
        <v>5.2690679999999978E-4</v>
      </c>
      <c r="G109" s="1009"/>
      <c r="H109" s="1009"/>
      <c r="I109" s="1009">
        <f>'121'!$W$29</f>
        <v>2.4000000000000001E-4</v>
      </c>
      <c r="J109" s="1009">
        <f t="shared" si="3"/>
        <v>3.8345339999999988E-4</v>
      </c>
      <c r="K109" s="1009"/>
    </row>
    <row r="110" spans="1:11" s="1012" customFormat="1" ht="15.75" x14ac:dyDescent="0.25">
      <c r="A110" s="1004">
        <v>122</v>
      </c>
      <c r="B110" s="1020" t="s">
        <v>156</v>
      </c>
      <c r="C110" s="1020" t="s">
        <v>157</v>
      </c>
      <c r="D110" s="1014">
        <v>7.22</v>
      </c>
      <c r="E110" s="1011" t="s">
        <v>145</v>
      </c>
      <c r="F110" s="1013">
        <f>'122'!W24</f>
        <v>1.1474859199999999E-4</v>
      </c>
      <c r="G110" s="1013"/>
      <c r="H110" s="1013"/>
      <c r="I110" s="1013">
        <f>'122'!$W$29</f>
        <v>5.5999999999999999E-5</v>
      </c>
      <c r="J110" s="1013">
        <f t="shared" si="3"/>
        <v>8.5374295999999996E-5</v>
      </c>
      <c r="K110" s="1013"/>
    </row>
    <row r="111" spans="1:11" ht="15.75" x14ac:dyDescent="0.25">
      <c r="A111" s="837">
        <f>'124'!$C$3</f>
        <v>124</v>
      </c>
      <c r="B111" s="1017" t="s">
        <v>314</v>
      </c>
      <c r="C111" s="1017" t="s">
        <v>217</v>
      </c>
      <c r="D111" s="1010">
        <v>4.2</v>
      </c>
      <c r="E111" s="1005" t="s">
        <v>145</v>
      </c>
      <c r="F111" s="1009">
        <f>'124'!$W$24</f>
        <v>5.2690679999999984E-6</v>
      </c>
      <c r="G111" s="1009"/>
      <c r="H111" s="1009"/>
      <c r="I111" s="1009"/>
      <c r="J111" s="1009">
        <f t="shared" si="3"/>
        <v>5.2690679999999984E-6</v>
      </c>
      <c r="K111" s="1009">
        <v>9.1007011872476533E-7</v>
      </c>
    </row>
    <row r="112" spans="1:11" s="1012" customFormat="1" ht="15.75" x14ac:dyDescent="0.25">
      <c r="A112" s="1004">
        <v>125</v>
      </c>
      <c r="B112" s="1020" t="s">
        <v>314</v>
      </c>
      <c r="C112" s="1020" t="s">
        <v>223</v>
      </c>
      <c r="D112" s="1014">
        <v>4.5999999999999996</v>
      </c>
      <c r="E112" s="1011" t="s">
        <v>145</v>
      </c>
      <c r="F112" s="1013">
        <f>'125'!W24</f>
        <v>4.3132279999999987E-6</v>
      </c>
      <c r="G112" s="1013"/>
      <c r="H112" s="1013"/>
      <c r="I112" s="1013"/>
      <c r="J112" s="1013">
        <f t="shared" si="3"/>
        <v>4.3132279999999987E-6</v>
      </c>
      <c r="K112" s="1013"/>
    </row>
    <row r="113" spans="1:11" ht="15.75" x14ac:dyDescent="0.25">
      <c r="A113" s="837">
        <v>126</v>
      </c>
      <c r="B113" s="1017" t="s">
        <v>172</v>
      </c>
      <c r="C113" s="1017" t="s">
        <v>232</v>
      </c>
      <c r="D113" s="1010">
        <v>1.35</v>
      </c>
      <c r="E113" s="1005" t="s">
        <v>145</v>
      </c>
      <c r="F113" s="1009">
        <f>'126'!W24</f>
        <v>5.8545199999999977E-9</v>
      </c>
      <c r="G113" s="1009"/>
      <c r="H113" s="1009"/>
      <c r="I113" s="1009"/>
      <c r="J113" s="1009">
        <f t="shared" si="3"/>
        <v>5.8545199999999977E-9</v>
      </c>
      <c r="K113" s="1009"/>
    </row>
    <row r="114" spans="1:11" ht="15.75" x14ac:dyDescent="0.25">
      <c r="A114" s="837">
        <v>127</v>
      </c>
      <c r="B114" s="1017" t="s">
        <v>158</v>
      </c>
      <c r="C114" s="1017"/>
      <c r="D114" s="1010">
        <v>1.65</v>
      </c>
      <c r="E114" s="1005" t="s">
        <v>145</v>
      </c>
      <c r="F114" s="1009">
        <f>'127'!W24</f>
        <v>2.3131327999999993E-7</v>
      </c>
      <c r="G114" s="1009"/>
      <c r="H114" s="1009"/>
      <c r="I114" s="1009"/>
      <c r="J114" s="1009">
        <f t="shared" si="3"/>
        <v>2.3131327999999993E-7</v>
      </c>
      <c r="K114" s="1009"/>
    </row>
    <row r="115" spans="1:11" ht="15.75" x14ac:dyDescent="0.25">
      <c r="A115" s="837">
        <v>128</v>
      </c>
      <c r="B115" s="1017" t="s">
        <v>158</v>
      </c>
      <c r="C115" s="1010"/>
      <c r="D115" s="1010">
        <v>1.95</v>
      </c>
      <c r="E115" s="1005" t="s">
        <v>145</v>
      </c>
      <c r="F115" s="1009">
        <f>'128'!W24</f>
        <v>1.8668749999999995E-4</v>
      </c>
      <c r="G115" s="1009"/>
      <c r="H115" s="1009"/>
      <c r="I115" s="1009">
        <f>'128'!$W$29</f>
        <v>1.02E-4</v>
      </c>
      <c r="J115" s="1009">
        <f t="shared" si="3"/>
        <v>1.4434374999999997E-4</v>
      </c>
      <c r="K115" s="1009"/>
    </row>
    <row r="116" spans="1:11" ht="15.75" x14ac:dyDescent="0.25">
      <c r="A116" s="837">
        <v>129</v>
      </c>
      <c r="B116" s="1017" t="s">
        <v>158</v>
      </c>
      <c r="C116" s="1010"/>
      <c r="D116" s="1010">
        <v>2.25</v>
      </c>
      <c r="E116" s="1005" t="s">
        <v>145</v>
      </c>
      <c r="F116" s="1009">
        <f>'129'!W24</f>
        <v>8.7100919999999991E-4</v>
      </c>
      <c r="G116" s="1009"/>
      <c r="H116" s="1009"/>
      <c r="I116" s="1009">
        <f>'129'!$W$29</f>
        <v>4.2000000000000002E-4</v>
      </c>
      <c r="J116" s="1009">
        <f t="shared" si="3"/>
        <v>6.4550459999999997E-4</v>
      </c>
      <c r="K116" s="1009"/>
    </row>
    <row r="117" spans="1:11" ht="15.75" x14ac:dyDescent="0.25">
      <c r="A117" s="837">
        <v>130</v>
      </c>
      <c r="B117" s="1017" t="s">
        <v>317</v>
      </c>
      <c r="C117" s="1017" t="s">
        <v>316</v>
      </c>
      <c r="D117" s="1010">
        <v>2.6</v>
      </c>
      <c r="E117" s="1005" t="s">
        <v>145</v>
      </c>
      <c r="F117" s="1009">
        <f>'130'!W24</f>
        <v>1.4457079999999996E-6</v>
      </c>
      <c r="G117" s="1009"/>
      <c r="H117" s="1009"/>
      <c r="I117" s="1009"/>
      <c r="J117" s="1009">
        <f t="shared" si="3"/>
        <v>1.4457079999999996E-6</v>
      </c>
      <c r="K117" s="1009"/>
    </row>
    <row r="118" spans="1:11" ht="15.75" x14ac:dyDescent="0.25">
      <c r="A118" s="837">
        <v>131</v>
      </c>
      <c r="B118" s="1017" t="s">
        <v>159</v>
      </c>
      <c r="C118" s="1010"/>
      <c r="D118" s="1010">
        <v>3</v>
      </c>
      <c r="E118" s="1005" t="s">
        <v>145</v>
      </c>
      <c r="F118" s="1009">
        <f>'131'!W24</f>
        <v>8.2454689291999966E-4</v>
      </c>
      <c r="G118" s="1009"/>
      <c r="H118" s="1009">
        <f>'131'!$Y$29</f>
        <v>3.8000000000000002E-4</v>
      </c>
      <c r="I118" s="1009"/>
      <c r="J118" s="1009">
        <f t="shared" si="3"/>
        <v>6.0227344645999979E-4</v>
      </c>
      <c r="K118" s="1018">
        <v>1.7445632180708746E-4</v>
      </c>
    </row>
    <row r="119" spans="1:11" ht="15.75" x14ac:dyDescent="0.25">
      <c r="A119" s="837">
        <v>132</v>
      </c>
      <c r="B119" s="1017" t="s">
        <v>168</v>
      </c>
      <c r="C119" s="1017" t="s">
        <v>247</v>
      </c>
      <c r="D119" s="1010">
        <v>3.75</v>
      </c>
      <c r="E119" s="1005" t="s">
        <v>145</v>
      </c>
      <c r="F119" s="1009">
        <f>'132'!W24</f>
        <v>6.1241815807999982E-4</v>
      </c>
      <c r="G119" s="1009"/>
      <c r="H119" s="1009">
        <f>'132'!$Y$29</f>
        <v>2.9999999999999997E-4</v>
      </c>
      <c r="I119" s="1009"/>
      <c r="J119" s="1009">
        <f t="shared" si="3"/>
        <v>4.5620907903999987E-4</v>
      </c>
      <c r="K119" s="1009">
        <v>3.1696754448593615E-5</v>
      </c>
    </row>
    <row r="120" spans="1:11" s="1012" customFormat="1" ht="15.75" x14ac:dyDescent="0.25">
      <c r="A120" s="1004">
        <v>133</v>
      </c>
      <c r="B120" s="1020" t="s">
        <v>168</v>
      </c>
      <c r="C120" s="1020" t="s">
        <v>230</v>
      </c>
      <c r="D120" s="1014">
        <v>3.74</v>
      </c>
      <c r="E120" s="1011" t="s">
        <v>145</v>
      </c>
      <c r="F120" s="1013">
        <f>'133'!W$24</f>
        <v>2.0192119999999997E-4</v>
      </c>
      <c r="G120" s="1013"/>
      <c r="H120" s="1013"/>
      <c r="I120" s="1013">
        <f>'133'!$W$29</f>
        <v>4.2999999999999999E-4</v>
      </c>
      <c r="J120" s="1013">
        <f t="shared" si="3"/>
        <v>3.1596059999999999E-4</v>
      </c>
      <c r="K120" s="1013"/>
    </row>
    <row r="121" spans="1:11" ht="15.75" x14ac:dyDescent="0.25">
      <c r="A121" s="837">
        <v>136</v>
      </c>
      <c r="B121" s="1017" t="s">
        <v>353</v>
      </c>
      <c r="C121" s="1017" t="s">
        <v>369</v>
      </c>
      <c r="D121" s="1010"/>
    </row>
    <row r="122" spans="1:11" ht="15.75" x14ac:dyDescent="0.25">
      <c r="A122" s="837">
        <f>A121+1</f>
        <v>137</v>
      </c>
      <c r="B122" s="1017" t="s">
        <v>353</v>
      </c>
      <c r="C122" s="1017" t="s">
        <v>370</v>
      </c>
      <c r="D122" s="1010"/>
      <c r="F122" s="1009"/>
    </row>
    <row r="123" spans="1:11" ht="15.75" x14ac:dyDescent="0.25">
      <c r="A123" s="837">
        <f t="shared" ref="A123:A180" si="4">A122+1</f>
        <v>138</v>
      </c>
      <c r="B123" s="1017" t="s">
        <v>353</v>
      </c>
      <c r="C123" s="1017" t="s">
        <v>371</v>
      </c>
      <c r="D123" s="1010"/>
      <c r="F123" s="1009"/>
    </row>
    <row r="124" spans="1:11" ht="15.75" x14ac:dyDescent="0.25">
      <c r="A124" s="837">
        <f t="shared" si="4"/>
        <v>139</v>
      </c>
      <c r="B124" s="1017" t="s">
        <v>354</v>
      </c>
      <c r="C124" s="1017" t="s">
        <v>372</v>
      </c>
      <c r="D124" s="1010"/>
      <c r="F124" s="1009"/>
    </row>
    <row r="125" spans="1:11" ht="15.75" x14ac:dyDescent="0.25">
      <c r="A125" s="837">
        <f t="shared" si="4"/>
        <v>140</v>
      </c>
      <c r="B125" s="1017" t="s">
        <v>354</v>
      </c>
      <c r="C125" s="1017" t="s">
        <v>373</v>
      </c>
      <c r="D125" s="1010"/>
      <c r="F125" s="1009"/>
    </row>
    <row r="126" spans="1:11" ht="15.75" x14ac:dyDescent="0.25">
      <c r="A126" s="837">
        <f t="shared" si="4"/>
        <v>141</v>
      </c>
      <c r="B126" s="1017" t="s">
        <v>354</v>
      </c>
      <c r="C126" s="1017" t="s">
        <v>374</v>
      </c>
      <c r="D126" s="1010"/>
      <c r="F126" s="1009"/>
    </row>
    <row r="127" spans="1:11" s="1012" customFormat="1" ht="15.75" x14ac:dyDescent="0.25">
      <c r="A127" s="1004">
        <f t="shared" si="4"/>
        <v>142</v>
      </c>
      <c r="B127" s="1020" t="s">
        <v>354</v>
      </c>
      <c r="C127" s="1020" t="s">
        <v>376</v>
      </c>
      <c r="D127" s="1014"/>
      <c r="F127" s="1013"/>
    </row>
    <row r="128" spans="1:11" ht="15.75" x14ac:dyDescent="0.25">
      <c r="A128" s="837">
        <f t="shared" si="4"/>
        <v>143</v>
      </c>
      <c r="B128" s="1017" t="s">
        <v>355</v>
      </c>
      <c r="C128" s="1017" t="s">
        <v>377</v>
      </c>
      <c r="D128" s="1010"/>
      <c r="F128" s="1009"/>
    </row>
    <row r="129" spans="1:6" ht="15.75" x14ac:dyDescent="0.25">
      <c r="A129" s="837">
        <f t="shared" si="4"/>
        <v>144</v>
      </c>
      <c r="B129" s="1017" t="s">
        <v>355</v>
      </c>
      <c r="C129" s="1017" t="s">
        <v>378</v>
      </c>
      <c r="D129" s="1010"/>
      <c r="F129" s="1009"/>
    </row>
    <row r="130" spans="1:6" ht="15.75" x14ac:dyDescent="0.25">
      <c r="A130" s="837">
        <f t="shared" si="4"/>
        <v>145</v>
      </c>
      <c r="B130" s="1017" t="s">
        <v>356</v>
      </c>
      <c r="C130" s="1017" t="s">
        <v>379</v>
      </c>
      <c r="D130" s="1010"/>
      <c r="F130" s="1009"/>
    </row>
    <row r="131" spans="1:6" ht="15.75" x14ac:dyDescent="0.25">
      <c r="A131" s="837">
        <f t="shared" si="4"/>
        <v>146</v>
      </c>
      <c r="B131" s="1017" t="s">
        <v>356</v>
      </c>
      <c r="C131" s="1017" t="s">
        <v>380</v>
      </c>
      <c r="D131" s="1010"/>
      <c r="F131" s="1009"/>
    </row>
    <row r="132" spans="1:6" ht="15.75" x14ac:dyDescent="0.25">
      <c r="A132" s="837">
        <f t="shared" si="4"/>
        <v>147</v>
      </c>
      <c r="B132" s="1017" t="s">
        <v>356</v>
      </c>
      <c r="C132" s="1017" t="s">
        <v>381</v>
      </c>
      <c r="D132" s="1010"/>
      <c r="F132" s="1009"/>
    </row>
    <row r="133" spans="1:6" ht="15.75" x14ac:dyDescent="0.25">
      <c r="A133" s="837">
        <f t="shared" si="4"/>
        <v>148</v>
      </c>
      <c r="B133" s="1017" t="s">
        <v>356</v>
      </c>
      <c r="C133" s="1017" t="s">
        <v>382</v>
      </c>
      <c r="D133" s="1010"/>
      <c r="F133" s="1009"/>
    </row>
    <row r="134" spans="1:6" ht="15.75" x14ac:dyDescent="0.25">
      <c r="A134" s="837">
        <f t="shared" si="4"/>
        <v>149</v>
      </c>
      <c r="B134" s="1017" t="s">
        <v>357</v>
      </c>
      <c r="C134" s="1017" t="s">
        <v>372</v>
      </c>
      <c r="D134" s="1010"/>
      <c r="F134" s="1009"/>
    </row>
    <row r="135" spans="1:6" ht="15.75" x14ac:dyDescent="0.25">
      <c r="A135" s="837">
        <f t="shared" si="4"/>
        <v>150</v>
      </c>
      <c r="B135" s="1017" t="s">
        <v>357</v>
      </c>
      <c r="C135" s="1017" t="s">
        <v>373</v>
      </c>
      <c r="D135" s="1010"/>
      <c r="F135" s="1009"/>
    </row>
    <row r="136" spans="1:6" ht="15.75" x14ac:dyDescent="0.25">
      <c r="A136" s="837">
        <f t="shared" si="4"/>
        <v>151</v>
      </c>
      <c r="B136" s="1017" t="s">
        <v>357</v>
      </c>
      <c r="C136" s="1017" t="s">
        <v>374</v>
      </c>
      <c r="D136" s="1010"/>
      <c r="F136" s="1009"/>
    </row>
    <row r="137" spans="1:6" ht="15.75" x14ac:dyDescent="0.25">
      <c r="A137" s="837">
        <f t="shared" si="4"/>
        <v>152</v>
      </c>
      <c r="B137" s="1017" t="s">
        <v>357</v>
      </c>
      <c r="C137" s="1017" t="s">
        <v>376</v>
      </c>
      <c r="D137" s="1010"/>
      <c r="F137" s="1009"/>
    </row>
    <row r="138" spans="1:6" ht="15.75" x14ac:dyDescent="0.25">
      <c r="A138" s="837">
        <f t="shared" si="4"/>
        <v>153</v>
      </c>
      <c r="B138" s="1017" t="s">
        <v>358</v>
      </c>
      <c r="C138" s="1017" t="s">
        <v>383</v>
      </c>
      <c r="D138" s="1010"/>
      <c r="F138" s="1009"/>
    </row>
    <row r="139" spans="1:6" ht="15.75" x14ac:dyDescent="0.25">
      <c r="A139" s="837">
        <f t="shared" si="4"/>
        <v>154</v>
      </c>
      <c r="B139" s="1017" t="s">
        <v>358</v>
      </c>
      <c r="C139" s="1017" t="s">
        <v>384</v>
      </c>
      <c r="D139" s="1010"/>
      <c r="F139" s="1009"/>
    </row>
    <row r="140" spans="1:6" ht="15.75" x14ac:dyDescent="0.25">
      <c r="A140" s="837">
        <f t="shared" si="4"/>
        <v>155</v>
      </c>
      <c r="B140" s="1017" t="s">
        <v>358</v>
      </c>
      <c r="C140" s="1017" t="s">
        <v>385</v>
      </c>
      <c r="D140" s="1010"/>
      <c r="F140" s="1009"/>
    </row>
    <row r="141" spans="1:6" s="1012" customFormat="1" ht="15.75" x14ac:dyDescent="0.25">
      <c r="A141" s="1004">
        <f t="shared" si="4"/>
        <v>156</v>
      </c>
      <c r="B141" s="1020" t="s">
        <v>358</v>
      </c>
      <c r="C141" s="1020" t="s">
        <v>386</v>
      </c>
      <c r="D141" s="1014"/>
      <c r="F141" s="1013"/>
    </row>
    <row r="142" spans="1:6" ht="15.75" x14ac:dyDescent="0.25">
      <c r="A142" s="837">
        <f t="shared" si="4"/>
        <v>157</v>
      </c>
      <c r="B142" s="1017" t="s">
        <v>359</v>
      </c>
      <c r="C142" s="1017" t="s">
        <v>375</v>
      </c>
      <c r="D142" s="1010"/>
      <c r="F142" s="1009"/>
    </row>
    <row r="143" spans="1:6" ht="15.75" x14ac:dyDescent="0.25">
      <c r="A143" s="837">
        <f t="shared" si="4"/>
        <v>158</v>
      </c>
      <c r="B143" s="1017" t="s">
        <v>359</v>
      </c>
      <c r="C143" s="1017" t="s">
        <v>387</v>
      </c>
      <c r="D143" s="1010"/>
      <c r="F143" s="1009"/>
    </row>
    <row r="144" spans="1:6" ht="15.75" x14ac:dyDescent="0.25">
      <c r="A144" s="837">
        <f t="shared" si="4"/>
        <v>159</v>
      </c>
      <c r="B144" s="1017" t="s">
        <v>359</v>
      </c>
      <c r="C144" s="1017" t="s">
        <v>377</v>
      </c>
      <c r="D144" s="1010"/>
      <c r="F144" s="1009"/>
    </row>
    <row r="145" spans="1:6" ht="15.75" x14ac:dyDescent="0.25">
      <c r="A145" s="837">
        <f t="shared" si="4"/>
        <v>160</v>
      </c>
      <c r="B145" s="1017" t="s">
        <v>359</v>
      </c>
      <c r="C145" s="1017" t="s">
        <v>378</v>
      </c>
      <c r="D145" s="1010"/>
      <c r="F145" s="1009"/>
    </row>
    <row r="146" spans="1:6" ht="15.75" x14ac:dyDescent="0.25">
      <c r="A146" s="837">
        <f t="shared" si="4"/>
        <v>161</v>
      </c>
      <c r="B146" s="1022" t="s">
        <v>360</v>
      </c>
      <c r="C146" s="1017" t="s">
        <v>379</v>
      </c>
      <c r="D146" s="1010"/>
      <c r="F146" s="1009"/>
    </row>
    <row r="147" spans="1:6" ht="15.75" x14ac:dyDescent="0.25">
      <c r="A147" s="837">
        <f t="shared" si="4"/>
        <v>162</v>
      </c>
      <c r="B147" s="1022" t="s">
        <v>360</v>
      </c>
      <c r="C147" s="1017" t="s">
        <v>380</v>
      </c>
      <c r="D147" s="1010"/>
      <c r="F147" s="1009"/>
    </row>
    <row r="148" spans="1:6" ht="15.75" x14ac:dyDescent="0.25">
      <c r="A148" s="837">
        <f>A147+1</f>
        <v>163</v>
      </c>
      <c r="B148" s="1022" t="s">
        <v>360</v>
      </c>
      <c r="C148" s="1017" t="s">
        <v>382</v>
      </c>
      <c r="D148" s="1010"/>
      <c r="F148" s="1009"/>
    </row>
    <row r="149" spans="1:6" ht="15.75" x14ac:dyDescent="0.25">
      <c r="A149" s="837">
        <f t="shared" si="4"/>
        <v>164</v>
      </c>
      <c r="B149" s="1017" t="s">
        <v>361</v>
      </c>
      <c r="C149" s="1017" t="s">
        <v>372</v>
      </c>
      <c r="D149" s="1010"/>
      <c r="F149" s="1009"/>
    </row>
    <row r="150" spans="1:6" ht="15.75" x14ac:dyDescent="0.25">
      <c r="A150" s="837">
        <f t="shared" si="4"/>
        <v>165</v>
      </c>
      <c r="B150" s="1017" t="s">
        <v>361</v>
      </c>
      <c r="C150" s="1017" t="s">
        <v>373</v>
      </c>
      <c r="D150" s="1010"/>
      <c r="F150" s="1009"/>
    </row>
    <row r="151" spans="1:6" ht="15.75" x14ac:dyDescent="0.25">
      <c r="A151" s="837">
        <f t="shared" si="4"/>
        <v>166</v>
      </c>
      <c r="B151" s="1017" t="s">
        <v>361</v>
      </c>
      <c r="C151" s="1017" t="s">
        <v>374</v>
      </c>
      <c r="D151" s="1010"/>
      <c r="F151" s="1009"/>
    </row>
    <row r="152" spans="1:6" ht="15.75" x14ac:dyDescent="0.25">
      <c r="A152" s="837">
        <f t="shared" si="4"/>
        <v>167</v>
      </c>
      <c r="B152" s="1017" t="s">
        <v>361</v>
      </c>
      <c r="C152" s="1017" t="s">
        <v>376</v>
      </c>
      <c r="D152" s="1010"/>
      <c r="F152" s="1009"/>
    </row>
    <row r="153" spans="1:6" ht="15.75" x14ac:dyDescent="0.25">
      <c r="A153" s="837">
        <f t="shared" si="4"/>
        <v>168</v>
      </c>
      <c r="B153" s="1017" t="s">
        <v>362</v>
      </c>
      <c r="C153" s="1017" t="s">
        <v>383</v>
      </c>
      <c r="D153" s="1010"/>
      <c r="F153" s="1009"/>
    </row>
    <row r="154" spans="1:6" ht="15.75" x14ac:dyDescent="0.25">
      <c r="A154" s="837">
        <f t="shared" si="4"/>
        <v>169</v>
      </c>
      <c r="B154" s="1017" t="s">
        <v>362</v>
      </c>
      <c r="C154" s="1017" t="s">
        <v>384</v>
      </c>
      <c r="D154" s="1010"/>
      <c r="F154" s="1009"/>
    </row>
    <row r="155" spans="1:6" ht="15.75" x14ac:dyDescent="0.25">
      <c r="A155" s="837">
        <f t="shared" si="4"/>
        <v>170</v>
      </c>
      <c r="B155" s="1017" t="s">
        <v>362</v>
      </c>
      <c r="C155" s="1017" t="s">
        <v>385</v>
      </c>
      <c r="D155" s="1010"/>
      <c r="F155" s="1009"/>
    </row>
    <row r="156" spans="1:6" s="1012" customFormat="1" ht="15.75" x14ac:dyDescent="0.25">
      <c r="A156" s="1004">
        <f t="shared" si="4"/>
        <v>171</v>
      </c>
      <c r="B156" s="1020" t="s">
        <v>362</v>
      </c>
      <c r="C156" s="1020" t="s">
        <v>386</v>
      </c>
      <c r="D156" s="1014"/>
      <c r="F156" s="1013"/>
    </row>
    <row r="157" spans="1:6" ht="15.75" x14ac:dyDescent="0.25">
      <c r="A157" s="837">
        <f t="shared" si="4"/>
        <v>172</v>
      </c>
      <c r="B157" s="1017" t="s">
        <v>363</v>
      </c>
      <c r="C157" s="1017" t="s">
        <v>375</v>
      </c>
      <c r="D157" s="1010"/>
      <c r="F157" s="1009"/>
    </row>
    <row r="158" spans="1:6" ht="15.75" x14ac:dyDescent="0.25">
      <c r="A158" s="837">
        <f t="shared" si="4"/>
        <v>173</v>
      </c>
      <c r="B158" s="1017" t="s">
        <v>363</v>
      </c>
      <c r="C158" s="1017" t="s">
        <v>387</v>
      </c>
      <c r="D158" s="1010">
        <v>0.46</v>
      </c>
      <c r="F158" s="1009"/>
    </row>
    <row r="159" spans="1:6" ht="15.75" x14ac:dyDescent="0.25">
      <c r="A159" s="837">
        <f t="shared" si="4"/>
        <v>174</v>
      </c>
      <c r="B159" s="1017" t="s">
        <v>363</v>
      </c>
      <c r="C159" s="1017" t="s">
        <v>377</v>
      </c>
      <c r="D159" s="1010">
        <v>0.77</v>
      </c>
      <c r="F159" s="1009"/>
    </row>
    <row r="160" spans="1:6" ht="15.75" x14ac:dyDescent="0.25">
      <c r="A160" s="837">
        <f t="shared" si="4"/>
        <v>175</v>
      </c>
      <c r="B160" s="1017" t="s">
        <v>363</v>
      </c>
      <c r="C160" s="1017" t="s">
        <v>378</v>
      </c>
      <c r="D160" s="1010">
        <v>1.07</v>
      </c>
      <c r="F160" s="1009"/>
    </row>
    <row r="161" spans="1:6" ht="15.75" x14ac:dyDescent="0.25">
      <c r="A161" s="837">
        <f t="shared" si="4"/>
        <v>176</v>
      </c>
      <c r="B161" s="1017" t="s">
        <v>364</v>
      </c>
      <c r="C161" s="1017" t="s">
        <v>379</v>
      </c>
      <c r="D161" s="1010">
        <v>1.38</v>
      </c>
      <c r="F161" s="1009"/>
    </row>
    <row r="162" spans="1:6" ht="15.75" x14ac:dyDescent="0.25">
      <c r="A162" s="837">
        <f t="shared" si="4"/>
        <v>177</v>
      </c>
      <c r="B162" s="1017" t="s">
        <v>364</v>
      </c>
      <c r="C162" s="1017" t="s">
        <v>380</v>
      </c>
      <c r="D162" s="1010">
        <v>1.68</v>
      </c>
      <c r="F162" s="1009"/>
    </row>
    <row r="163" spans="1:6" ht="15.75" x14ac:dyDescent="0.25">
      <c r="A163" s="837">
        <f t="shared" si="4"/>
        <v>178</v>
      </c>
      <c r="B163" s="1017" t="s">
        <v>364</v>
      </c>
      <c r="C163" s="1017" t="s">
        <v>381</v>
      </c>
      <c r="D163" s="1010">
        <v>1.99</v>
      </c>
      <c r="F163" s="1009"/>
    </row>
    <row r="164" spans="1:6" ht="15.75" x14ac:dyDescent="0.25">
      <c r="A164" s="837">
        <f t="shared" si="4"/>
        <v>179</v>
      </c>
      <c r="B164" s="1017" t="s">
        <v>364</v>
      </c>
      <c r="C164" s="1017" t="s">
        <v>382</v>
      </c>
      <c r="D164" s="1010">
        <v>2.29</v>
      </c>
      <c r="F164" s="1009"/>
    </row>
    <row r="165" spans="1:6" ht="15.75" x14ac:dyDescent="0.25">
      <c r="A165" s="837">
        <f t="shared" si="4"/>
        <v>180</v>
      </c>
      <c r="B165" s="1017" t="s">
        <v>365</v>
      </c>
      <c r="C165" s="1017" t="s">
        <v>372</v>
      </c>
      <c r="D165" s="1010">
        <v>2.6</v>
      </c>
      <c r="F165" s="1009"/>
    </row>
    <row r="166" spans="1:6" ht="15.75" x14ac:dyDescent="0.25">
      <c r="A166" s="837">
        <f t="shared" si="4"/>
        <v>181</v>
      </c>
      <c r="B166" s="1017" t="s">
        <v>365</v>
      </c>
      <c r="C166" s="1017" t="s">
        <v>373</v>
      </c>
      <c r="D166" s="1010">
        <v>2.9</v>
      </c>
      <c r="F166" s="1009"/>
    </row>
    <row r="167" spans="1:6" ht="15.75" x14ac:dyDescent="0.25">
      <c r="A167" s="837">
        <f t="shared" si="4"/>
        <v>182</v>
      </c>
      <c r="B167" s="1017" t="s">
        <v>365</v>
      </c>
      <c r="C167" s="1017" t="s">
        <v>374</v>
      </c>
      <c r="D167" s="1010">
        <v>3.21</v>
      </c>
      <c r="F167" s="1009"/>
    </row>
    <row r="168" spans="1:6" ht="15.75" x14ac:dyDescent="0.25">
      <c r="A168" s="837">
        <f t="shared" si="4"/>
        <v>183</v>
      </c>
      <c r="B168" s="1017" t="s">
        <v>365</v>
      </c>
      <c r="C168" s="1017" t="s">
        <v>376</v>
      </c>
      <c r="D168" s="1010">
        <v>3.51</v>
      </c>
      <c r="F168" s="1009"/>
    </row>
    <row r="169" spans="1:6" ht="15.75" x14ac:dyDescent="0.25">
      <c r="A169" s="837">
        <f t="shared" si="4"/>
        <v>184</v>
      </c>
      <c r="B169" s="1017" t="s">
        <v>366</v>
      </c>
      <c r="C169" s="1017" t="s">
        <v>383</v>
      </c>
      <c r="D169" s="1010">
        <v>3.82</v>
      </c>
      <c r="F169" s="1009"/>
    </row>
    <row r="170" spans="1:6" ht="15.75" x14ac:dyDescent="0.25">
      <c r="A170" s="837">
        <f t="shared" si="4"/>
        <v>185</v>
      </c>
      <c r="B170" s="1017" t="s">
        <v>366</v>
      </c>
      <c r="C170" s="1017" t="s">
        <v>384</v>
      </c>
      <c r="D170" s="1010">
        <v>4.12</v>
      </c>
      <c r="F170" s="1009"/>
    </row>
    <row r="171" spans="1:6" ht="15.75" x14ac:dyDescent="0.25">
      <c r="A171" s="837">
        <f t="shared" si="4"/>
        <v>186</v>
      </c>
      <c r="B171" s="1017" t="s">
        <v>366</v>
      </c>
      <c r="C171" s="1017" t="s">
        <v>385</v>
      </c>
      <c r="D171" s="1010">
        <v>4.43</v>
      </c>
      <c r="F171" s="1009"/>
    </row>
    <row r="172" spans="1:6" ht="15.75" x14ac:dyDescent="0.25">
      <c r="A172" s="837">
        <f t="shared" si="4"/>
        <v>187</v>
      </c>
      <c r="B172" s="1017" t="s">
        <v>366</v>
      </c>
      <c r="C172" s="1017" t="s">
        <v>386</v>
      </c>
      <c r="D172" s="1010">
        <v>4.7300000000000004</v>
      </c>
      <c r="F172" s="1009"/>
    </row>
    <row r="173" spans="1:6" ht="15.75" x14ac:dyDescent="0.25">
      <c r="A173" s="837">
        <f t="shared" si="4"/>
        <v>188</v>
      </c>
      <c r="B173" s="1017" t="s">
        <v>388</v>
      </c>
      <c r="C173" s="1017" t="s">
        <v>390</v>
      </c>
      <c r="D173" s="1010">
        <v>6.26</v>
      </c>
    </row>
    <row r="174" spans="1:6" ht="15.75" x14ac:dyDescent="0.25">
      <c r="A174" s="837">
        <f t="shared" si="4"/>
        <v>189</v>
      </c>
      <c r="B174" s="1017" t="s">
        <v>388</v>
      </c>
      <c r="C174" s="1017" t="s">
        <v>391</v>
      </c>
      <c r="D174" s="1010">
        <v>6.56</v>
      </c>
    </row>
    <row r="175" spans="1:6" ht="15.75" x14ac:dyDescent="0.25">
      <c r="A175" s="837">
        <f t="shared" si="4"/>
        <v>190</v>
      </c>
      <c r="B175" s="1017" t="s">
        <v>388</v>
      </c>
      <c r="C175" s="1017" t="s">
        <v>392</v>
      </c>
      <c r="D175" s="1010">
        <v>6.87</v>
      </c>
    </row>
    <row r="176" spans="1:6" ht="15.75" x14ac:dyDescent="0.25">
      <c r="A176" s="837">
        <f t="shared" si="4"/>
        <v>191</v>
      </c>
      <c r="B176" s="1017" t="s">
        <v>388</v>
      </c>
      <c r="C176" s="1017" t="s">
        <v>393</v>
      </c>
      <c r="D176" s="1010">
        <v>7.17</v>
      </c>
    </row>
    <row r="177" spans="1:4" ht="15.75" x14ac:dyDescent="0.25">
      <c r="A177" s="837">
        <f t="shared" si="4"/>
        <v>192</v>
      </c>
      <c r="B177" s="1017" t="s">
        <v>389</v>
      </c>
      <c r="C177" s="1017" t="s">
        <v>394</v>
      </c>
      <c r="D177" s="1010">
        <v>7.48</v>
      </c>
    </row>
    <row r="178" spans="1:4" ht="15.75" x14ac:dyDescent="0.25">
      <c r="A178" s="837">
        <f t="shared" si="4"/>
        <v>193</v>
      </c>
      <c r="B178" s="1017" t="s">
        <v>389</v>
      </c>
      <c r="C178" s="1017" t="s">
        <v>395</v>
      </c>
      <c r="D178" s="1010">
        <v>7.78</v>
      </c>
    </row>
    <row r="179" spans="1:4" ht="15.75" x14ac:dyDescent="0.25">
      <c r="A179" s="837">
        <f t="shared" si="4"/>
        <v>194</v>
      </c>
      <c r="B179" s="1017" t="s">
        <v>389</v>
      </c>
      <c r="C179" s="1017" t="s">
        <v>396</v>
      </c>
      <c r="D179" s="1010">
        <v>8.09</v>
      </c>
    </row>
    <row r="180" spans="1:4" s="1012" customFormat="1" ht="15.75" x14ac:dyDescent="0.25">
      <c r="A180" s="1004">
        <f t="shared" si="4"/>
        <v>195</v>
      </c>
      <c r="B180" s="1020" t="s">
        <v>389</v>
      </c>
      <c r="C180" s="1020" t="s">
        <v>397</v>
      </c>
      <c r="D180" s="1014">
        <v>8.39</v>
      </c>
    </row>
  </sheetData>
  <sortState ref="A2:S120">
    <sortCondition ref="A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180</vt:i4>
      </vt:variant>
    </vt:vector>
  </HeadingPairs>
  <TitlesOfParts>
    <vt:vector size="18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119</vt:lpstr>
      <vt:lpstr>120</vt:lpstr>
      <vt:lpstr>121</vt:lpstr>
      <vt:lpstr>122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188</vt:lpstr>
      <vt:lpstr>189</vt:lpstr>
      <vt:lpstr>190</vt:lpstr>
      <vt:lpstr>191</vt:lpstr>
      <vt:lpstr>192</vt:lpstr>
      <vt:lpstr>193</vt:lpstr>
      <vt:lpstr>194</vt:lpstr>
      <vt:lpstr>195</vt:lpstr>
      <vt:lpstr>K alle Methoden</vt:lpstr>
    </vt:vector>
  </TitlesOfParts>
  <Company>Johannes Gutenberg-Universität Mainz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burghard</dc:creator>
  <cp:lastModifiedBy>Thomas Fichtner</cp:lastModifiedBy>
  <cp:lastPrinted>2009-07-20T14:31:07Z</cp:lastPrinted>
  <dcterms:created xsi:type="dcterms:W3CDTF">2006-02-10T13:24:24Z</dcterms:created>
  <dcterms:modified xsi:type="dcterms:W3CDTF">2022-10-21T13:50:13Z</dcterms:modified>
</cp:coreProperties>
</file>