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73E43D6-6C22-42AC-A1E5-8B1AA3A23111}" xr6:coauthVersionLast="47" xr6:coauthVersionMax="47" xr10:uidLastSave="{00000000-0000-0000-0000-000000000000}"/>
  <bookViews>
    <workbookView xWindow="-110" yWindow="-110" windowWidth="19420" windowHeight="10300" activeTab="2" xr2:uid="{A6738F7B-BE1E-4331-A787-96B53D9B825E}"/>
  </bookViews>
  <sheets>
    <sheet name="Inputs and assumptions" sheetId="1" r:id="rId1"/>
    <sheet name="FCF forecast" sheetId="2" r:id="rId2"/>
    <sheet name="Valuation 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C12" i="3"/>
  <c r="D4" i="3"/>
  <c r="E4" i="3"/>
  <c r="E5" i="3" s="1"/>
  <c r="F4" i="3"/>
  <c r="F5" i="3" s="1"/>
  <c r="G4" i="3"/>
  <c r="H4" i="3"/>
  <c r="C4" i="3"/>
  <c r="D3" i="3"/>
  <c r="D6" i="3" s="1"/>
  <c r="E3" i="3"/>
  <c r="E6" i="3" s="1"/>
  <c r="F3" i="3"/>
  <c r="F6" i="3" s="1"/>
  <c r="G3" i="3"/>
  <c r="G6" i="3" s="1"/>
  <c r="H3" i="3"/>
  <c r="H6" i="3" s="1"/>
  <c r="C3" i="3"/>
  <c r="C6" i="3" s="1"/>
  <c r="C3" i="2"/>
  <c r="D3" i="2" s="1"/>
  <c r="C4" i="2"/>
  <c r="C5" i="2" s="1"/>
  <c r="C9" i="2" s="1"/>
  <c r="C6" i="2"/>
  <c r="C7" i="2"/>
  <c r="C8" i="2"/>
  <c r="C13" i="1"/>
  <c r="E17" i="1"/>
  <c r="F17" i="1"/>
  <c r="G17" i="1"/>
  <c r="D17" i="1"/>
  <c r="C12" i="1"/>
  <c r="D27" i="1"/>
  <c r="E27" i="1"/>
  <c r="F27" i="1"/>
  <c r="G27" i="1"/>
  <c r="C27" i="1"/>
  <c r="D26" i="1"/>
  <c r="C8" i="1" s="1"/>
  <c r="E26" i="1"/>
  <c r="F26" i="1"/>
  <c r="G26" i="1"/>
  <c r="C26" i="1"/>
  <c r="D25" i="1"/>
  <c r="E25" i="1"/>
  <c r="C7" i="1" s="1"/>
  <c r="F25" i="1"/>
  <c r="G25" i="1"/>
  <c r="C25" i="1"/>
  <c r="H5" i="3" l="1"/>
  <c r="G5" i="3"/>
  <c r="D7" i="3"/>
  <c r="D8" i="3" s="1"/>
  <c r="C7" i="3"/>
  <c r="D5" i="3"/>
  <c r="H7" i="3"/>
  <c r="H8" i="3" s="1"/>
  <c r="G7" i="3"/>
  <c r="G8" i="3" s="1"/>
  <c r="F7" i="3"/>
  <c r="F8" i="3" s="1"/>
  <c r="E7" i="3"/>
  <c r="E8" i="3" s="1"/>
  <c r="C5" i="3"/>
  <c r="D7" i="2"/>
  <c r="E7" i="2" s="1"/>
  <c r="F7" i="2" s="1"/>
  <c r="G7" i="2" s="1"/>
  <c r="H7" i="2" s="1"/>
  <c r="E3" i="2"/>
  <c r="D8" i="2"/>
  <c r="D6" i="2"/>
  <c r="D4" i="2"/>
  <c r="D5" i="2" s="1"/>
  <c r="C5" i="1"/>
  <c r="C8" i="3" l="1"/>
  <c r="C11" i="3"/>
  <c r="C13" i="3" s="1"/>
  <c r="C15" i="3" s="1"/>
  <c r="D9" i="2"/>
  <c r="E4" i="2"/>
  <c r="E5" i="2" s="1"/>
  <c r="E8" i="2"/>
  <c r="F3" i="2"/>
  <c r="E6" i="2"/>
  <c r="F4" i="2" l="1"/>
  <c r="F5" i="2" s="1"/>
  <c r="F8" i="2"/>
  <c r="G3" i="2"/>
  <c r="F6" i="2"/>
  <c r="E9" i="2"/>
  <c r="G8" i="2" l="1"/>
  <c r="G4" i="2"/>
  <c r="G5" i="2" s="1"/>
  <c r="G6" i="2"/>
  <c r="H3" i="2"/>
  <c r="F9" i="2"/>
  <c r="H6" i="2" l="1"/>
  <c r="H4" i="2"/>
  <c r="H5" i="2" s="1"/>
  <c r="H8" i="2"/>
  <c r="G9" i="2"/>
  <c r="H9" i="2" l="1"/>
</calcChain>
</file>

<file path=xl/sharedStrings.xml><?xml version="1.0" encoding="utf-8"?>
<sst xmlns="http://schemas.openxmlformats.org/spreadsheetml/2006/main" count="48" uniqueCount="39">
  <si>
    <t>Assumptions</t>
  </si>
  <si>
    <t>Input</t>
  </si>
  <si>
    <t>Forecast years</t>
  </si>
  <si>
    <t>Starting year</t>
  </si>
  <si>
    <t>EBIT Margin %</t>
  </si>
  <si>
    <t>Tax Rate</t>
  </si>
  <si>
    <t>Depreciation (% Rev)</t>
  </si>
  <si>
    <t>CapEx ( % Rev)</t>
  </si>
  <si>
    <t>WC Change ( % Rev)</t>
  </si>
  <si>
    <t>WACC %</t>
  </si>
  <si>
    <t>Terminal Growth</t>
  </si>
  <si>
    <t>2023 Revenue (VND)</t>
  </si>
  <si>
    <t>Year</t>
  </si>
  <si>
    <t>Revenue</t>
  </si>
  <si>
    <t>Depreciation</t>
  </si>
  <si>
    <t>Net Profit</t>
  </si>
  <si>
    <t>CapEx</t>
  </si>
  <si>
    <t>Total Assets</t>
  </si>
  <si>
    <t>Cash</t>
  </si>
  <si>
    <t>Total liabilities</t>
  </si>
  <si>
    <t>Operating Profit</t>
  </si>
  <si>
    <t>Change in NWC</t>
  </si>
  <si>
    <t xml:space="preserve">DVT: Triệu đồng </t>
  </si>
  <si>
    <t>EBIT</t>
  </si>
  <si>
    <t>NOPAT</t>
  </si>
  <si>
    <t>CapEX</t>
  </si>
  <si>
    <t>FCF</t>
  </si>
  <si>
    <t>Revenue growth</t>
  </si>
  <si>
    <t>N/A</t>
  </si>
  <si>
    <t>Discount factor</t>
  </si>
  <si>
    <t>Discounted FCF</t>
  </si>
  <si>
    <t>Terminal Value</t>
  </si>
  <si>
    <t>Discounted terminal value</t>
  </si>
  <si>
    <t>Enterprise Value</t>
  </si>
  <si>
    <t>Total Enterprise Value</t>
  </si>
  <si>
    <t>Net Debt</t>
  </si>
  <si>
    <t>Equity value</t>
  </si>
  <si>
    <t xml:space="preserve">Shares outstanding </t>
  </si>
  <si>
    <t xml:space="preserve">Implied value /share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</si>
</sst>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0.0%"/>
    <numFmt numFmtId="171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"/>
    </font>
    <font>
      <b/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2" fillId="0" borderId="1" xfId="0" applyNumberFormat="1" applyFont="1" applyBorder="1"/>
    <xf numFmtId="168" fontId="4" fillId="0" borderId="1" xfId="0" applyNumberFormat="1" applyFont="1" applyBorder="1" applyAlignment="1">
      <alignment horizontal="center" vertical="center"/>
    </xf>
    <xf numFmtId="168" fontId="2" fillId="2" borderId="1" xfId="0" applyNumberFormat="1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1" fontId="2" fillId="0" borderId="1" xfId="1" applyNumberFormat="1" applyFont="1" applyBorder="1"/>
    <xf numFmtId="43" fontId="2" fillId="0" borderId="1" xfId="1" applyNumberFormat="1" applyFont="1" applyBorder="1"/>
    <xf numFmtId="171" fontId="2" fillId="0" borderId="1" xfId="0" applyNumberFormat="1" applyFont="1" applyBorder="1"/>
    <xf numFmtId="0" fontId="2" fillId="0" borderId="0" xfId="0" applyFont="1" applyBorder="1" applyAlignment="1">
      <alignment horizontal="center"/>
    </xf>
    <xf numFmtId="171" fontId="2" fillId="0" borderId="0" xfId="0" applyNumberFormat="1" applyFont="1" applyBorder="1"/>
    <xf numFmtId="43" fontId="2" fillId="0" borderId="1" xfId="0" applyNumberFormat="1" applyFont="1" applyBorder="1"/>
    <xf numFmtId="0" fontId="2" fillId="0" borderId="0" xfId="0" applyFont="1" applyBorder="1"/>
    <xf numFmtId="43" fontId="2" fillId="0" borderId="0" xfId="0" applyNumberFormat="1" applyFont="1" applyBorder="1"/>
    <xf numFmtId="4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E0C04-A59F-4955-9786-B244EC550A3D}">
  <dimension ref="B2:J28"/>
  <sheetViews>
    <sheetView zoomScale="85" zoomScaleNormal="85" workbookViewId="0">
      <selection activeCell="I22" sqref="I22"/>
    </sheetView>
  </sheetViews>
  <sheetFormatPr defaultRowHeight="14" x14ac:dyDescent="0.3"/>
  <cols>
    <col min="1" max="1" width="8.7265625" style="1"/>
    <col min="2" max="2" width="18.54296875" style="1" bestFit="1" customWidth="1"/>
    <col min="3" max="3" width="12.36328125" style="1" customWidth="1"/>
    <col min="4" max="4" width="17.6328125" style="1" customWidth="1"/>
    <col min="5" max="5" width="12.36328125" style="1" customWidth="1"/>
    <col min="6" max="6" width="11.08984375" style="1" bestFit="1" customWidth="1"/>
    <col min="7" max="7" width="11.7265625" style="1" customWidth="1"/>
    <col min="8" max="8" width="10.453125" style="1" bestFit="1" customWidth="1"/>
    <col min="9" max="9" width="13.1796875" style="1" bestFit="1" customWidth="1"/>
    <col min="10" max="10" width="4.81640625" style="1" bestFit="1" customWidth="1"/>
    <col min="11" max="16384" width="8.7265625" style="1"/>
  </cols>
  <sheetData>
    <row r="2" spans="2:10" x14ac:dyDescent="0.3">
      <c r="B2" s="6" t="s">
        <v>0</v>
      </c>
      <c r="C2" s="6" t="s">
        <v>1</v>
      </c>
    </row>
    <row r="3" spans="2:10" x14ac:dyDescent="0.3">
      <c r="B3" s="7" t="s">
        <v>2</v>
      </c>
      <c r="C3" s="7">
        <v>5</v>
      </c>
    </row>
    <row r="4" spans="2:10" x14ac:dyDescent="0.3">
      <c r="B4" s="7" t="s">
        <v>3</v>
      </c>
      <c r="C4" s="7">
        <v>2024</v>
      </c>
    </row>
    <row r="5" spans="2:10" x14ac:dyDescent="0.3">
      <c r="B5" s="7" t="s">
        <v>4</v>
      </c>
      <c r="C5" s="16">
        <f>AVERAGE(C27:G27)</f>
        <v>0.17394384933975973</v>
      </c>
    </row>
    <row r="6" spans="2:10" x14ac:dyDescent="0.3">
      <c r="B6" s="7" t="s">
        <v>5</v>
      </c>
      <c r="C6" s="8">
        <v>0.2</v>
      </c>
    </row>
    <row r="7" spans="2:10" x14ac:dyDescent="0.3">
      <c r="B7" s="7" t="s">
        <v>6</v>
      </c>
      <c r="C7" s="16">
        <f>AVERAGE(C25:G25)</f>
        <v>4.4303775924116461E-2</v>
      </c>
    </row>
    <row r="8" spans="2:10" x14ac:dyDescent="0.3">
      <c r="B8" s="7" t="s">
        <v>7</v>
      </c>
      <c r="C8" s="16">
        <f>AVERAGE(C26:G26)</f>
        <v>-7.6715381749997077E-2</v>
      </c>
    </row>
    <row r="9" spans="2:10" x14ac:dyDescent="0.3">
      <c r="B9" s="7" t="s">
        <v>8</v>
      </c>
      <c r="C9" s="8">
        <v>0.03</v>
      </c>
    </row>
    <row r="10" spans="2:10" x14ac:dyDescent="0.3">
      <c r="B10" s="7" t="s">
        <v>9</v>
      </c>
      <c r="C10" s="8">
        <v>0.11</v>
      </c>
    </row>
    <row r="11" spans="2:10" x14ac:dyDescent="0.3">
      <c r="B11" s="7" t="s">
        <v>10</v>
      </c>
      <c r="C11" s="16">
        <v>2.5000000000000001E-2</v>
      </c>
    </row>
    <row r="12" spans="2:10" x14ac:dyDescent="0.3">
      <c r="B12" s="7" t="s">
        <v>11</v>
      </c>
      <c r="C12" s="17">
        <f>F16</f>
        <v>52617901</v>
      </c>
    </row>
    <row r="13" spans="2:10" x14ac:dyDescent="0.3">
      <c r="B13" s="7" t="s">
        <v>27</v>
      </c>
      <c r="C13" s="20">
        <f>AVERAGE(C17:G17)</f>
        <v>0.2049026007528798</v>
      </c>
    </row>
    <row r="14" spans="2:10" x14ac:dyDescent="0.3">
      <c r="G14" s="14" t="s">
        <v>22</v>
      </c>
      <c r="H14" s="14"/>
    </row>
    <row r="15" spans="2:10" x14ac:dyDescent="0.3">
      <c r="B15" s="10" t="s">
        <v>12</v>
      </c>
      <c r="C15" s="10">
        <v>2020</v>
      </c>
      <c r="D15" s="10">
        <v>2021</v>
      </c>
      <c r="E15" s="10">
        <v>2022</v>
      </c>
      <c r="F15" s="10">
        <v>2023</v>
      </c>
      <c r="G15" s="10">
        <v>2024</v>
      </c>
      <c r="H15" s="2"/>
      <c r="I15" s="2"/>
      <c r="J15" s="2"/>
    </row>
    <row r="16" spans="2:10" x14ac:dyDescent="0.3">
      <c r="B16" s="3" t="s">
        <v>13</v>
      </c>
      <c r="C16" s="9">
        <v>29830401</v>
      </c>
      <c r="D16" s="9">
        <v>35657263</v>
      </c>
      <c r="E16" s="9">
        <v>44009528</v>
      </c>
      <c r="F16" s="9">
        <v>52617901</v>
      </c>
      <c r="G16" s="9">
        <v>62848794</v>
      </c>
      <c r="H16" s="2"/>
      <c r="I16" s="2"/>
      <c r="J16" s="2"/>
    </row>
    <row r="17" spans="2:10" x14ac:dyDescent="0.3">
      <c r="B17" s="3" t="s">
        <v>27</v>
      </c>
      <c r="C17" s="9" t="s">
        <v>28</v>
      </c>
      <c r="D17" s="19">
        <f>(D16-C16)/C16</f>
        <v>0.19533300943557547</v>
      </c>
      <c r="E17" s="19">
        <f t="shared" ref="E17:G17" si="0">(E16-D16)/D16</f>
        <v>0.2342374118843614</v>
      </c>
      <c r="F17" s="19">
        <f t="shared" si="0"/>
        <v>0.19560248408026554</v>
      </c>
      <c r="G17" s="19">
        <f t="shared" si="0"/>
        <v>0.19443749761131673</v>
      </c>
      <c r="H17" s="2"/>
      <c r="I17" s="2"/>
      <c r="J17" s="2"/>
    </row>
    <row r="18" spans="2:10" x14ac:dyDescent="0.3">
      <c r="B18" s="3" t="s">
        <v>20</v>
      </c>
      <c r="C18" s="9">
        <v>5190654</v>
      </c>
      <c r="D18" s="9">
        <v>6228494</v>
      </c>
      <c r="E18" s="9">
        <v>7589290</v>
      </c>
      <c r="F18" s="9">
        <v>9111746</v>
      </c>
      <c r="G18" s="9">
        <v>11025081</v>
      </c>
      <c r="H18" s="2"/>
      <c r="I18" s="2"/>
      <c r="J18" s="2"/>
    </row>
    <row r="19" spans="2:10" x14ac:dyDescent="0.3">
      <c r="B19" s="3" t="s">
        <v>15</v>
      </c>
      <c r="C19" s="9">
        <v>3538008</v>
      </c>
      <c r="D19" s="9">
        <v>4337412</v>
      </c>
      <c r="E19" s="9">
        <v>5310109</v>
      </c>
      <c r="F19" s="9">
        <v>6465190</v>
      </c>
      <c r="G19" s="9">
        <v>7856768</v>
      </c>
      <c r="H19" s="2"/>
      <c r="I19" s="2"/>
      <c r="J19" s="2"/>
    </row>
    <row r="20" spans="2:10" x14ac:dyDescent="0.3">
      <c r="B20" s="3" t="s">
        <v>14</v>
      </c>
      <c r="C20" s="11">
        <v>1490607</v>
      </c>
      <c r="D20" s="11">
        <v>1643916</v>
      </c>
      <c r="E20" s="11">
        <v>1833064</v>
      </c>
      <c r="F20" s="11">
        <v>2286514</v>
      </c>
      <c r="G20" s="11">
        <v>2535298</v>
      </c>
      <c r="H20" s="2"/>
      <c r="I20" s="2"/>
      <c r="J20" s="2"/>
    </row>
    <row r="21" spans="2:10" x14ac:dyDescent="0.3">
      <c r="B21" s="3" t="s">
        <v>16</v>
      </c>
      <c r="C21" s="11">
        <v>-3017645</v>
      </c>
      <c r="D21" s="11">
        <v>-2911001</v>
      </c>
      <c r="E21" s="11">
        <v>-3215243</v>
      </c>
      <c r="F21" s="11">
        <v>-3978252</v>
      </c>
      <c r="G21" s="11">
        <v>-3275312</v>
      </c>
      <c r="H21" s="2"/>
      <c r="I21" s="2"/>
      <c r="J21" s="2"/>
    </row>
    <row r="22" spans="2:10" x14ac:dyDescent="0.3">
      <c r="B22" s="3" t="s">
        <v>17</v>
      </c>
      <c r="C22" s="11">
        <v>41734323</v>
      </c>
      <c r="D22" s="11">
        <v>53697941</v>
      </c>
      <c r="E22" s="11">
        <v>51650404</v>
      </c>
      <c r="F22" s="11">
        <v>60282828</v>
      </c>
      <c r="G22" s="11">
        <v>71999996</v>
      </c>
    </row>
    <row r="23" spans="2:10" x14ac:dyDescent="0.3">
      <c r="B23" s="3" t="s">
        <v>19</v>
      </c>
      <c r="C23" s="11">
        <v>23128656</v>
      </c>
      <c r="D23" s="11">
        <v>32279956</v>
      </c>
      <c r="E23" s="11">
        <v>26294279</v>
      </c>
      <c r="F23" s="11">
        <v>30349816</v>
      </c>
      <c r="G23" s="11">
        <v>36272456</v>
      </c>
    </row>
    <row r="24" spans="2:10" x14ac:dyDescent="0.3">
      <c r="B24" s="3" t="s">
        <v>18</v>
      </c>
      <c r="C24" s="11">
        <v>4686191</v>
      </c>
      <c r="D24" s="11">
        <v>5417845</v>
      </c>
      <c r="E24" s="11">
        <v>6440177</v>
      </c>
      <c r="F24" s="11">
        <v>8279157</v>
      </c>
      <c r="G24" s="11">
        <v>9315440</v>
      </c>
    </row>
    <row r="25" spans="2:10" x14ac:dyDescent="0.3">
      <c r="B25" s="13" t="s">
        <v>6</v>
      </c>
      <c r="C25" s="15">
        <f>C20/C16</f>
        <v>4.9969391963587753E-2</v>
      </c>
      <c r="D25" s="15">
        <f t="shared" ref="D25:G25" si="1">D20/D16</f>
        <v>4.6103258121634294E-2</v>
      </c>
      <c r="E25" s="15">
        <f t="shared" si="1"/>
        <v>4.1651526005913993E-2</v>
      </c>
      <c r="F25" s="15">
        <f t="shared" si="1"/>
        <v>4.3455059144225462E-2</v>
      </c>
      <c r="G25" s="15">
        <f t="shared" si="1"/>
        <v>4.0339644385220821E-2</v>
      </c>
    </row>
    <row r="26" spans="2:10" x14ac:dyDescent="0.3">
      <c r="B26" s="13" t="s">
        <v>7</v>
      </c>
      <c r="C26" s="15">
        <f>C21/C16</f>
        <v>-0.1011600548044929</v>
      </c>
      <c r="D26" s="15">
        <f t="shared" ref="D26:G26" si="2">D21/D16</f>
        <v>-8.1638374768136304E-2</v>
      </c>
      <c r="E26" s="15">
        <f t="shared" si="2"/>
        <v>-7.3057884192713904E-2</v>
      </c>
      <c r="F26" s="15">
        <f t="shared" si="2"/>
        <v>-7.560643667636989E-2</v>
      </c>
      <c r="G26" s="15">
        <f t="shared" si="2"/>
        <v>-5.2114158308272394E-2</v>
      </c>
    </row>
    <row r="27" spans="2:10" x14ac:dyDescent="0.3">
      <c r="B27" s="13" t="s">
        <v>4</v>
      </c>
      <c r="C27" s="15">
        <f>C18/C16</f>
        <v>0.17400550532324388</v>
      </c>
      <c r="D27" s="15">
        <f t="shared" ref="D27:G27" si="3">D18/D16</f>
        <v>0.17467672715093135</v>
      </c>
      <c r="E27" s="15">
        <f t="shared" si="3"/>
        <v>0.17244652112606162</v>
      </c>
      <c r="F27" s="15">
        <f t="shared" si="3"/>
        <v>0.17316817711903787</v>
      </c>
      <c r="G27" s="15">
        <f t="shared" si="3"/>
        <v>0.17542231597952382</v>
      </c>
    </row>
    <row r="28" spans="2:10" x14ac:dyDescent="0.3">
      <c r="C28" s="12"/>
      <c r="D28" s="12"/>
      <c r="E28" s="12"/>
      <c r="F28" s="12"/>
      <c r="G28" s="12"/>
    </row>
  </sheetData>
  <mergeCells count="1">
    <mergeCell ref="G14:H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FDE6-F494-42D7-8D2B-5C8FE079B3FD}">
  <dimension ref="B2:H9"/>
  <sheetViews>
    <sheetView workbookViewId="0">
      <selection activeCell="C12" sqref="C12"/>
    </sheetView>
  </sheetViews>
  <sheetFormatPr defaultRowHeight="14" x14ac:dyDescent="0.3"/>
  <cols>
    <col min="1" max="1" width="8.7265625" style="1"/>
    <col min="2" max="2" width="14" style="1" bestFit="1" customWidth="1"/>
    <col min="3" max="5" width="9.7265625" style="1" bestFit="1" customWidth="1"/>
    <col min="6" max="8" width="10.7265625" style="1" bestFit="1" customWidth="1"/>
    <col min="9" max="16384" width="8.7265625" style="1"/>
  </cols>
  <sheetData>
    <row r="2" spans="2:8" x14ac:dyDescent="0.3">
      <c r="B2" s="10" t="s">
        <v>12</v>
      </c>
      <c r="C2" s="10">
        <v>2024</v>
      </c>
      <c r="D2" s="10">
        <v>2025</v>
      </c>
      <c r="E2" s="10">
        <v>2026</v>
      </c>
      <c r="F2" s="10">
        <v>2027</v>
      </c>
      <c r="G2" s="10">
        <v>2028</v>
      </c>
      <c r="H2" s="10">
        <v>2029</v>
      </c>
    </row>
    <row r="3" spans="2:8" x14ac:dyDescent="0.3">
      <c r="B3" s="3" t="s">
        <v>13</v>
      </c>
      <c r="C3" s="11">
        <f>'Inputs and assumptions'!G16</f>
        <v>62848794</v>
      </c>
      <c r="D3" s="11">
        <f>C3*(1+'Inputs and assumptions'!$C$13)</f>
        <v>75726675.344781995</v>
      </c>
      <c r="E3" s="11">
        <f>D3*(1+'Inputs and assumptions'!$C$13)</f>
        <v>91243268.069296807</v>
      </c>
      <c r="F3" s="11">
        <f>E3*(1+'Inputs and assumptions'!$C$13)</f>
        <v>109939250.99788791</v>
      </c>
      <c r="G3" s="11">
        <f>F3*(1+'Inputs and assumptions'!$C$13)</f>
        <v>132466089.45217878</v>
      </c>
      <c r="H3" s="11">
        <f>G3*(1+'Inputs and assumptions'!$C$13)</f>
        <v>159608735.69249383</v>
      </c>
    </row>
    <row r="4" spans="2:8" x14ac:dyDescent="0.3">
      <c r="B4" s="3" t="s">
        <v>23</v>
      </c>
      <c r="C4" s="11">
        <f>'Inputs and assumptions'!G18</f>
        <v>11025081</v>
      </c>
      <c r="D4" s="3">
        <f>D3*'Inputs and assumptions'!$C$5</f>
        <v>13172189.407173658</v>
      </c>
      <c r="E4" s="3">
        <f>E3*'Inputs and assumptions'!$C$5</f>
        <v>15871205.274313074</v>
      </c>
      <c r="F4" s="3">
        <f>F3*'Inputs and assumptions'!$C$5</f>
        <v>19123256.512102645</v>
      </c>
      <c r="G4" s="3">
        <f>G3*'Inputs and assumptions'!$C$5</f>
        <v>23041661.506296922</v>
      </c>
      <c r="H4" s="3">
        <f>H3*'Inputs and assumptions'!$C$5</f>
        <v>27762957.874604676</v>
      </c>
    </row>
    <row r="5" spans="2:8" x14ac:dyDescent="0.3">
      <c r="B5" s="3" t="s">
        <v>24</v>
      </c>
      <c r="C5" s="3">
        <f>C4*(1-'Inputs and assumptions'!$C$6)</f>
        <v>8820064.8000000007</v>
      </c>
      <c r="D5" s="3">
        <f>D4*(1-'Inputs and assumptions'!$C$6)</f>
        <v>10537751.525738927</v>
      </c>
      <c r="E5" s="3">
        <f>E4*(1-'Inputs and assumptions'!$C$6)</f>
        <v>12696964.219450459</v>
      </c>
      <c r="F5" s="3">
        <f>F4*(1-'Inputs and assumptions'!$C$6)</f>
        <v>15298605.209682116</v>
      </c>
      <c r="G5" s="3">
        <f>G4*(1-'Inputs and assumptions'!$C$6)</f>
        <v>18433329.205037538</v>
      </c>
      <c r="H5" s="3">
        <f>H4*(1-'Inputs and assumptions'!$C$6)</f>
        <v>22210366.299683742</v>
      </c>
    </row>
    <row r="6" spans="2:8" x14ac:dyDescent="0.3">
      <c r="B6" s="3" t="s">
        <v>14</v>
      </c>
      <c r="C6" s="11">
        <f>'Inputs and assumptions'!G20</f>
        <v>2535298</v>
      </c>
      <c r="D6" s="3">
        <f>D3*'Inputs and assumptions'!$C$7</f>
        <v>3354977.6559535363</v>
      </c>
      <c r="E6" s="3">
        <f>E3*'Inputs and assumptions'!$C$7</f>
        <v>4042421.3031262159</v>
      </c>
      <c r="F6" s="3">
        <f>F3*'Inputs and assumptions'!$C$7</f>
        <v>4870723.9414756233</v>
      </c>
      <c r="G6" s="3">
        <f>G3*'Inputs and assumptions'!$C$7</f>
        <v>5868747.9446332958</v>
      </c>
      <c r="H6" s="3">
        <f>H3*'Inputs and assumptions'!$C$7</f>
        <v>7071269.6616517752</v>
      </c>
    </row>
    <row r="7" spans="2:8" x14ac:dyDescent="0.3">
      <c r="B7" s="3" t="s">
        <v>25</v>
      </c>
      <c r="C7" s="11">
        <f>'Inputs and assumptions'!G21</f>
        <v>-3275312</v>
      </c>
      <c r="D7" s="3">
        <f>D3*'Inputs and assumptions'!$C$8</f>
        <v>-5809400.8077330422</v>
      </c>
      <c r="E7" s="3">
        <f>D7*'Inputs and assumptions'!$C$8</f>
        <v>445670.40070398169</v>
      </c>
      <c r="F7" s="3">
        <f>E7*'Inputs and assumptions'!$C$8</f>
        <v>-34189.774924680125</v>
      </c>
      <c r="G7" s="3">
        <f>F7*'Inputs and assumptions'!$C$8</f>
        <v>2622.8816352933131</v>
      </c>
      <c r="H7" s="3">
        <f>G7*'Inputs and assumptions'!$C$8</f>
        <v>-201.21536593658311</v>
      </c>
    </row>
    <row r="8" spans="2:8" x14ac:dyDescent="0.3">
      <c r="B8" s="3" t="s">
        <v>21</v>
      </c>
      <c r="C8" s="3">
        <f>C3*'Inputs and assumptions'!$C$9</f>
        <v>1885463.8199999998</v>
      </c>
      <c r="D8" s="3">
        <f>D3*'Inputs and assumptions'!$C$9</f>
        <v>2271800.2603434599</v>
      </c>
      <c r="E8" s="3">
        <f>E3*'Inputs and assumptions'!$C$9</f>
        <v>2737298.0420789043</v>
      </c>
      <c r="F8" s="3">
        <f>F3*'Inputs and assumptions'!$C$9</f>
        <v>3298177.5299366373</v>
      </c>
      <c r="G8" s="3">
        <f>G3*'Inputs and assumptions'!$C$9</f>
        <v>3973982.6835653633</v>
      </c>
      <c r="H8" s="3">
        <f>H3*'Inputs and assumptions'!$C$9</f>
        <v>4788262.070774815</v>
      </c>
    </row>
    <row r="9" spans="2:8" x14ac:dyDescent="0.3">
      <c r="B9" s="5" t="s">
        <v>26</v>
      </c>
      <c r="C9" s="21">
        <f>C5+C6-C8+C7</f>
        <v>6194586.9800000004</v>
      </c>
      <c r="D9" s="21">
        <f t="shared" ref="D9:H9" si="0">D5+D6-D8+D7</f>
        <v>5811528.1136159599</v>
      </c>
      <c r="E9" s="21">
        <f t="shared" si="0"/>
        <v>14447757.881201752</v>
      </c>
      <c r="F9" s="21">
        <f t="shared" si="0"/>
        <v>16836961.846296422</v>
      </c>
      <c r="G9" s="21">
        <f t="shared" si="0"/>
        <v>20330717.347740762</v>
      </c>
      <c r="H9" s="21">
        <f t="shared" si="0"/>
        <v>24493172.675194766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91CEC-2B1D-4DF5-AC21-4446BF22EBCC}">
  <dimension ref="A1:H22"/>
  <sheetViews>
    <sheetView tabSelected="1" zoomScaleNormal="100" workbookViewId="0">
      <selection activeCell="G18" sqref="G18"/>
    </sheetView>
  </sheetViews>
  <sheetFormatPr defaultRowHeight="14" x14ac:dyDescent="0.3"/>
  <cols>
    <col min="1" max="1" width="8.7265625" style="1"/>
    <col min="2" max="2" width="22.08984375" style="1" bestFit="1" customWidth="1"/>
    <col min="3" max="3" width="16.7265625" style="1" bestFit="1" customWidth="1"/>
    <col min="4" max="4" width="14.6328125" style="1" bestFit="1" customWidth="1"/>
    <col min="5" max="8" width="15.6328125" style="1" bestFit="1" customWidth="1"/>
    <col min="9" max="16384" width="8.7265625" style="1"/>
  </cols>
  <sheetData>
    <row r="1" spans="2:8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2:8" x14ac:dyDescent="0.3">
      <c r="B2" s="10" t="s">
        <v>12</v>
      </c>
      <c r="C2" s="10">
        <v>2024</v>
      </c>
      <c r="D2" s="10">
        <v>2025</v>
      </c>
      <c r="E2" s="10">
        <v>2026</v>
      </c>
      <c r="F2" s="10">
        <v>2027</v>
      </c>
      <c r="G2" s="10">
        <v>2028</v>
      </c>
      <c r="H2" s="10">
        <v>2029</v>
      </c>
    </row>
    <row r="3" spans="2:8" x14ac:dyDescent="0.3">
      <c r="B3" s="3" t="s">
        <v>26</v>
      </c>
      <c r="C3" s="22">
        <f>'FCF forecast'!C9</f>
        <v>6194586.9800000004</v>
      </c>
      <c r="D3" s="22">
        <f>'FCF forecast'!D9</f>
        <v>5811528.1136159599</v>
      </c>
      <c r="E3" s="22">
        <f>'FCF forecast'!E9</f>
        <v>14447757.881201752</v>
      </c>
      <c r="F3" s="22">
        <f>'FCF forecast'!F9</f>
        <v>16836961.846296422</v>
      </c>
      <c r="G3" s="22">
        <f>'FCF forecast'!G9</f>
        <v>20330717.347740762</v>
      </c>
      <c r="H3" s="22">
        <f>'FCF forecast'!H9</f>
        <v>24493172.675194766</v>
      </c>
    </row>
    <row r="4" spans="2:8" x14ac:dyDescent="0.3">
      <c r="B4" s="3" t="s">
        <v>29</v>
      </c>
      <c r="C4" s="23">
        <f>1/(1+'Inputs and assumptions'!$C$10)^'Valuation summary'!C1</f>
        <v>0.9009009009009008</v>
      </c>
      <c r="D4" s="23">
        <f>1/(1+'Inputs and assumptions'!$C$10)^'Valuation summary'!D1</f>
        <v>0.8116224332440547</v>
      </c>
      <c r="E4" s="23">
        <f>1/(1+'Inputs and assumptions'!$C$10)^'Valuation summary'!E1</f>
        <v>0.73119138130095018</v>
      </c>
      <c r="F4" s="23">
        <f>1/(1+'Inputs and assumptions'!$C$10)^'Valuation summary'!F1</f>
        <v>0.65873097414500015</v>
      </c>
      <c r="G4" s="23">
        <f>1/(1+'Inputs and assumptions'!$C$10)^'Valuation summary'!G1</f>
        <v>0.5934513280585586</v>
      </c>
      <c r="H4" s="23">
        <f>1/(1+'Inputs and assumptions'!$C$10)^'Valuation summary'!H1</f>
        <v>0.53464083608879154</v>
      </c>
    </row>
    <row r="5" spans="2:8" x14ac:dyDescent="0.3">
      <c r="B5" s="3" t="s">
        <v>30</v>
      </c>
      <c r="C5" s="22">
        <f>C4*C3</f>
        <v>5580708.9909909908</v>
      </c>
      <c r="D5" s="22">
        <f t="shared" ref="D5:H5" si="0">D4*D3</f>
        <v>4716766.5884392168</v>
      </c>
      <c r="E5" s="22">
        <f t="shared" si="0"/>
        <v>10564076.041857598</v>
      </c>
      <c r="F5" s="22">
        <f t="shared" si="0"/>
        <v>11091028.278653042</v>
      </c>
      <c r="G5" s="22">
        <f t="shared" si="0"/>
        <v>12065291.210399931</v>
      </c>
      <c r="H5" s="22">
        <f t="shared" si="0"/>
        <v>13095050.317533273</v>
      </c>
    </row>
    <row r="6" spans="2:8" x14ac:dyDescent="0.3">
      <c r="B6" s="3" t="s">
        <v>31</v>
      </c>
      <c r="C6" s="22">
        <f>(C3*(1+'Inputs and assumptions'!$C$11)/('Inputs and assumptions'!$C$10-'Inputs and assumptions'!$C$11))</f>
        <v>74699431.229411781</v>
      </c>
      <c r="D6" s="22">
        <f>(D3*(1+'Inputs and assumptions'!$C$11)/('Inputs and assumptions'!$C$10-'Inputs and assumptions'!$C$11))</f>
        <v>70080191.958310097</v>
      </c>
      <c r="E6" s="22">
        <f>(E3*(1+'Inputs and assumptions'!$C$11)/('Inputs and assumptions'!$C$10-'Inputs and assumptions'!$C$11))</f>
        <v>174222962.68507996</v>
      </c>
      <c r="F6" s="22">
        <f>(F3*(1+'Inputs and assumptions'!$C$11)/('Inputs and assumptions'!$C$10-'Inputs and assumptions'!$C$11))</f>
        <v>203033951.67592743</v>
      </c>
      <c r="G6" s="22">
        <f>(G3*(1+'Inputs and assumptions'!$C$11)/('Inputs and assumptions'!$C$10-'Inputs and assumptions'!$C$11))</f>
        <v>245164532.72275624</v>
      </c>
      <c r="H6" s="22">
        <f>(H3*(1+'Inputs and assumptions'!$C$11)/('Inputs and assumptions'!$C$10-'Inputs and assumptions'!$C$11))</f>
        <v>295358846.96558398</v>
      </c>
    </row>
    <row r="7" spans="2:8" x14ac:dyDescent="0.3">
      <c r="B7" s="3" t="s">
        <v>32</v>
      </c>
      <c r="C7" s="22">
        <f>C6*C4</f>
        <v>67296784.891361952</v>
      </c>
      <c r="D7" s="22">
        <f t="shared" ref="D7:H7" si="1">D6*D4</f>
        <v>56878655.919414073</v>
      </c>
      <c r="E7" s="22">
        <f t="shared" si="1"/>
        <v>127390328.74004751</v>
      </c>
      <c r="F7" s="22">
        <f t="shared" si="1"/>
        <v>133744752.77199256</v>
      </c>
      <c r="G7" s="22">
        <f t="shared" si="1"/>
        <v>145493217.53717563</v>
      </c>
      <c r="H7" s="22">
        <f t="shared" si="1"/>
        <v>157910900.88790125</v>
      </c>
    </row>
    <row r="8" spans="2:8" x14ac:dyDescent="0.3">
      <c r="B8" s="3" t="s">
        <v>33</v>
      </c>
      <c r="C8" s="24">
        <f>C7+C5</f>
        <v>72877493.882352948</v>
      </c>
      <c r="D8" s="24">
        <f t="shared" ref="D8:H8" si="2">D7+D5</f>
        <v>61595422.507853292</v>
      </c>
      <c r="E8" s="24">
        <f t="shared" si="2"/>
        <v>137954404.78190511</v>
      </c>
      <c r="F8" s="24">
        <f t="shared" si="2"/>
        <v>144835781.05064562</v>
      </c>
      <c r="G8" s="24">
        <f t="shared" si="2"/>
        <v>157558508.74757555</v>
      </c>
      <c r="H8" s="24">
        <f t="shared" si="2"/>
        <v>171005951.20543453</v>
      </c>
    </row>
    <row r="9" spans="2:8" x14ac:dyDescent="0.3">
      <c r="B9" s="25"/>
      <c r="C9" s="26"/>
      <c r="D9" s="26"/>
      <c r="E9" s="26"/>
      <c r="F9" s="26"/>
      <c r="G9" s="26"/>
      <c r="H9" s="26"/>
    </row>
    <row r="11" spans="2:8" x14ac:dyDescent="0.3">
      <c r="B11" s="4" t="s">
        <v>34</v>
      </c>
      <c r="C11" s="24">
        <f>SUM(C8:G8)+H7</f>
        <v>732732511.85823369</v>
      </c>
    </row>
    <row r="12" spans="2:8" x14ac:dyDescent="0.3">
      <c r="B12" s="4" t="s">
        <v>35</v>
      </c>
      <c r="C12" s="18">
        <f>'Inputs and assumptions'!F23-'Inputs and assumptions'!F24</f>
        <v>22070659</v>
      </c>
    </row>
    <row r="13" spans="2:8" x14ac:dyDescent="0.3">
      <c r="B13" s="4" t="s">
        <v>36</v>
      </c>
      <c r="C13" s="24">
        <f>C11-C12</f>
        <v>710661852.85823369</v>
      </c>
    </row>
    <row r="14" spans="2:8" x14ac:dyDescent="0.3">
      <c r="B14" s="4" t="s">
        <v>37</v>
      </c>
      <c r="C14" s="18">
        <f>12699688750000/10000</f>
        <v>1269968875</v>
      </c>
    </row>
    <row r="15" spans="2:8" x14ac:dyDescent="0.3">
      <c r="B15" s="4" t="s">
        <v>38</v>
      </c>
      <c r="C15" s="27">
        <f>C13/C14</f>
        <v>0.55958997645374076</v>
      </c>
    </row>
    <row r="16" spans="2:8" x14ac:dyDescent="0.3">
      <c r="B16" s="28"/>
      <c r="C16" s="29"/>
    </row>
    <row r="22" spans="1:1" x14ac:dyDescent="0.3">
      <c r="A2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 and assumptions</vt:lpstr>
      <vt:lpstr>FCF forecast</vt:lpstr>
      <vt:lpstr>Valuation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saung hlaing</dc:creator>
  <cp:lastModifiedBy>saung hlaing</cp:lastModifiedBy>
  <dcterms:created xsi:type="dcterms:W3CDTF">2025-07-23T05:38:15Z</dcterms:created>
  <dcterms:modified xsi:type="dcterms:W3CDTF">2025-07-24T13:27:24Z</dcterms:modified>
</cp:coreProperties>
</file>