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A030774-8B41-4250-B582-8F25C0A62BB9}" xr6:coauthVersionLast="47" xr6:coauthVersionMax="47" xr10:uidLastSave="{00000000-0000-0000-0000-000000000000}"/>
  <bookViews>
    <workbookView xWindow="-110" yWindow="-110" windowWidth="19420" windowHeight="10300" activeTab="1" xr2:uid="{D7032054-4233-4183-B434-CEDA5E056A4B}"/>
  </bookViews>
  <sheets>
    <sheet name="Valuation" sheetId="1" r:id="rId1"/>
    <sheet name="Executive summa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" l="1"/>
  <c r="E7" i="3"/>
  <c r="F7" i="3"/>
  <c r="G7" i="3"/>
  <c r="H7" i="3"/>
  <c r="I7" i="3"/>
  <c r="D7" i="3"/>
  <c r="C6" i="3"/>
  <c r="H9" i="1"/>
  <c r="G9" i="1"/>
  <c r="H8" i="1"/>
  <c r="G8" i="1"/>
  <c r="F28" i="1"/>
  <c r="G28" i="1"/>
  <c r="H28" i="1"/>
  <c r="I28" i="1"/>
  <c r="J28" i="1"/>
  <c r="K28" i="1"/>
  <c r="L28" i="1"/>
  <c r="C28" i="1"/>
  <c r="D28" i="1"/>
  <c r="E28" i="1"/>
  <c r="B28" i="1"/>
  <c r="F11" i="1"/>
  <c r="F9" i="1"/>
  <c r="E11" i="3"/>
  <c r="F11" i="3"/>
  <c r="G11" i="3"/>
  <c r="H11" i="3"/>
  <c r="I11" i="3"/>
  <c r="C11" i="3"/>
  <c r="H34" i="1"/>
  <c r="G34" i="1"/>
  <c r="D35" i="1"/>
  <c r="E35" i="1"/>
  <c r="F35" i="1"/>
  <c r="C35" i="1"/>
  <c r="C34" i="1"/>
  <c r="D34" i="1"/>
  <c r="E34" i="1"/>
  <c r="F34" i="1"/>
  <c r="B34" i="1"/>
  <c r="B8" i="1"/>
  <c r="E3" i="3"/>
  <c r="F3" i="3"/>
  <c r="G3" i="3"/>
  <c r="H3" i="3"/>
  <c r="I3" i="3"/>
  <c r="C2" i="3"/>
  <c r="C27" i="1"/>
  <c r="D27" i="1"/>
  <c r="E27" i="1"/>
  <c r="F27" i="1"/>
  <c r="C31" i="1"/>
  <c r="D31" i="1"/>
  <c r="E31" i="1"/>
  <c r="F31" i="1"/>
  <c r="B31" i="1"/>
  <c r="C37" i="1"/>
  <c r="D37" i="1"/>
  <c r="E37" i="1"/>
  <c r="F37" i="1"/>
  <c r="B53" i="1" s="1"/>
  <c r="B37" i="1"/>
  <c r="B46" i="1"/>
  <c r="F26" i="1"/>
  <c r="G25" i="1" s="1"/>
  <c r="E26" i="1"/>
  <c r="C26" i="1"/>
  <c r="D26" i="1"/>
  <c r="B26" i="1"/>
  <c r="H40" i="1"/>
  <c r="I40" i="1"/>
  <c r="J40" i="1"/>
  <c r="K40" i="1"/>
  <c r="L40" i="1"/>
  <c r="G40" i="1"/>
  <c r="C24" i="1"/>
  <c r="D24" i="1"/>
  <c r="E24" i="1"/>
  <c r="F24" i="1"/>
  <c r="B24" i="1"/>
  <c r="C15" i="1"/>
  <c r="D15" i="1"/>
  <c r="E15" i="1"/>
  <c r="F15" i="1"/>
  <c r="G14" i="1" s="1"/>
  <c r="B15" i="1"/>
  <c r="C10" i="1"/>
  <c r="C11" i="1" s="1"/>
  <c r="D10" i="1"/>
  <c r="D11" i="1" s="1"/>
  <c r="E10" i="1"/>
  <c r="E11" i="1" s="1"/>
  <c r="F10" i="1"/>
  <c r="B10" i="1"/>
  <c r="B11" i="1" s="1"/>
  <c r="C8" i="1"/>
  <c r="D8" i="1"/>
  <c r="E8" i="1"/>
  <c r="F8" i="1"/>
  <c r="C6" i="1"/>
  <c r="D6" i="1"/>
  <c r="E6" i="1"/>
  <c r="F6" i="1"/>
  <c r="G5" i="1" s="1"/>
  <c r="G27" i="1" s="1"/>
  <c r="H35" i="1" l="1"/>
  <c r="I34" i="1" s="1"/>
  <c r="I35" i="1" s="1"/>
  <c r="J34" i="1" s="1"/>
  <c r="J35" i="1" s="1"/>
  <c r="K34" i="1" s="1"/>
  <c r="K35" i="1" s="1"/>
  <c r="L34" i="1" s="1"/>
  <c r="L35" i="1" s="1"/>
  <c r="G35" i="1"/>
  <c r="D2" i="3"/>
  <c r="C3" i="3"/>
  <c r="G26" i="1"/>
  <c r="H25" i="1" s="1"/>
  <c r="G6" i="1"/>
  <c r="G24" i="1"/>
  <c r="G15" i="1"/>
  <c r="H14" i="1" s="1"/>
  <c r="H24" i="1" s="1"/>
  <c r="G10" i="1"/>
  <c r="C16" i="1"/>
  <c r="C18" i="1" s="1"/>
  <c r="B16" i="1"/>
  <c r="B18" i="1" s="1"/>
  <c r="F16" i="1"/>
  <c r="E16" i="1"/>
  <c r="E9" i="1"/>
  <c r="D16" i="1"/>
  <c r="C9" i="1"/>
  <c r="D9" i="1"/>
  <c r="C19" i="1" l="1"/>
  <c r="B23" i="1"/>
  <c r="H5" i="1"/>
  <c r="H15" i="1" s="1"/>
  <c r="I14" i="1" s="1"/>
  <c r="I24" i="1" s="1"/>
  <c r="D3" i="3"/>
  <c r="H26" i="1"/>
  <c r="I25" i="1" s="1"/>
  <c r="I5" i="1"/>
  <c r="G11" i="1"/>
  <c r="H10" i="1" s="1"/>
  <c r="C20" i="1"/>
  <c r="C21" i="1" s="1"/>
  <c r="G16" i="1"/>
  <c r="G7" i="1"/>
  <c r="C23" i="1"/>
  <c r="C17" i="1"/>
  <c r="B20" i="1"/>
  <c r="B21" i="1" s="1"/>
  <c r="B19" i="1"/>
  <c r="B17" i="1"/>
  <c r="D18" i="1"/>
  <c r="D17" i="1"/>
  <c r="E18" i="1"/>
  <c r="E17" i="1"/>
  <c r="F18" i="1"/>
  <c r="F17" i="1"/>
  <c r="C8" i="3" s="1"/>
  <c r="F19" i="1" l="1"/>
  <c r="C4" i="3" s="1"/>
  <c r="B22" i="1"/>
  <c r="D20" i="1"/>
  <c r="D21" i="1" s="1"/>
  <c r="D22" i="1"/>
  <c r="H11" i="1"/>
  <c r="I10" i="1" s="1"/>
  <c r="I11" i="1" s="1"/>
  <c r="J10" i="1" s="1"/>
  <c r="C22" i="1"/>
  <c r="E19" i="1"/>
  <c r="I27" i="1"/>
  <c r="F2" i="3"/>
  <c r="H27" i="1"/>
  <c r="E2" i="3"/>
  <c r="J5" i="1"/>
  <c r="I26" i="1"/>
  <c r="J25" i="1" s="1"/>
  <c r="I15" i="1"/>
  <c r="J14" i="1" s="1"/>
  <c r="J24" i="1" s="1"/>
  <c r="G18" i="1"/>
  <c r="G17" i="1"/>
  <c r="D8" i="3" s="1"/>
  <c r="D23" i="1"/>
  <c r="D19" i="1"/>
  <c r="E23" i="1"/>
  <c r="E20" i="1"/>
  <c r="E21" i="1" s="1"/>
  <c r="F20" i="1"/>
  <c r="F21" i="1" s="1"/>
  <c r="F23" i="1"/>
  <c r="F22" i="1" l="1"/>
  <c r="E22" i="1"/>
  <c r="C9" i="3"/>
  <c r="C5" i="3"/>
  <c r="J27" i="1"/>
  <c r="G2" i="3"/>
  <c r="K5" i="1"/>
  <c r="J11" i="1"/>
  <c r="K10" i="1" s="1"/>
  <c r="J15" i="1"/>
  <c r="K14" i="1" s="1"/>
  <c r="K24" i="1" s="1"/>
  <c r="J26" i="1"/>
  <c r="K25" i="1" s="1"/>
  <c r="H16" i="1"/>
  <c r="G19" i="1"/>
  <c r="D4" i="3" s="1"/>
  <c r="G20" i="1"/>
  <c r="G21" i="1" s="1"/>
  <c r="G23" i="1"/>
  <c r="G22" i="1" l="1"/>
  <c r="G41" i="1"/>
  <c r="D6" i="3"/>
  <c r="D5" i="3"/>
  <c r="K27" i="1"/>
  <c r="H2" i="3"/>
  <c r="K26" i="1"/>
  <c r="L25" i="1" s="1"/>
  <c r="L5" i="1"/>
  <c r="L15" i="1" s="1"/>
  <c r="K11" i="1"/>
  <c r="L10" i="1" s="1"/>
  <c r="K15" i="1"/>
  <c r="L14" i="1" s="1"/>
  <c r="L24" i="1" s="1"/>
  <c r="I8" i="1"/>
  <c r="H7" i="1"/>
  <c r="H17" i="1"/>
  <c r="E8" i="3" s="1"/>
  <c r="H18" i="1"/>
  <c r="L11" i="1" l="1"/>
  <c r="L26" i="1"/>
  <c r="L27" i="1"/>
  <c r="I2" i="3"/>
  <c r="D9" i="3"/>
  <c r="I16" i="1"/>
  <c r="I9" i="1"/>
  <c r="H19" i="1"/>
  <c r="E4" i="3" s="1"/>
  <c r="H20" i="1"/>
  <c r="H21" i="1" s="1"/>
  <c r="H23" i="1"/>
  <c r="H22" i="1" l="1"/>
  <c r="H41" i="1"/>
  <c r="E5" i="3"/>
  <c r="E6" i="3"/>
  <c r="J8" i="1"/>
  <c r="I7" i="1"/>
  <c r="I18" i="1"/>
  <c r="I17" i="1"/>
  <c r="F8" i="3" s="1"/>
  <c r="E9" i="3" l="1"/>
  <c r="I23" i="1"/>
  <c r="I19" i="1"/>
  <c r="F4" i="3" s="1"/>
  <c r="I20" i="1"/>
  <c r="I21" i="1" s="1"/>
  <c r="J16" i="1"/>
  <c r="J9" i="1"/>
  <c r="J7" i="1" s="1"/>
  <c r="I22" i="1" l="1"/>
  <c r="I41" i="1"/>
  <c r="F6" i="3"/>
  <c r="F5" i="3"/>
  <c r="K8" i="1"/>
  <c r="J18" i="1"/>
  <c r="J17" i="1"/>
  <c r="G8" i="3" s="1"/>
  <c r="F9" i="3" l="1"/>
  <c r="J23" i="1"/>
  <c r="J19" i="1"/>
  <c r="G4" i="3" s="1"/>
  <c r="J20" i="1"/>
  <c r="J21" i="1" s="1"/>
  <c r="K16" i="1"/>
  <c r="K9" i="1"/>
  <c r="K7" i="1" s="1"/>
  <c r="J22" i="1" l="1"/>
  <c r="J41" i="1"/>
  <c r="G5" i="3"/>
  <c r="G6" i="3"/>
  <c r="K17" i="1"/>
  <c r="H8" i="3" s="1"/>
  <c r="K18" i="1"/>
  <c r="L8" i="1"/>
  <c r="G9" i="3" l="1"/>
  <c r="K23" i="1"/>
  <c r="K19" i="1"/>
  <c r="H4" i="3" s="1"/>
  <c r="K20" i="1"/>
  <c r="K21" i="1" s="1"/>
  <c r="L9" i="1"/>
  <c r="L7" i="1" s="1"/>
  <c r="L16" i="1"/>
  <c r="K22" i="1" l="1"/>
  <c r="K41" i="1"/>
  <c r="H5" i="3"/>
  <c r="H6" i="3"/>
  <c r="L17" i="1"/>
  <c r="I8" i="3" s="1"/>
  <c r="L18" i="1"/>
  <c r="H9" i="3" l="1"/>
  <c r="L23" i="1"/>
  <c r="L19" i="1"/>
  <c r="I4" i="3" s="1"/>
  <c r="L20" i="1"/>
  <c r="L21" i="1" s="1"/>
  <c r="L22" i="1" l="1"/>
  <c r="L41" i="1"/>
  <c r="I5" i="3"/>
  <c r="I6" i="3"/>
  <c r="B44" i="1" l="1"/>
  <c r="B47" i="1" s="1"/>
  <c r="I9" i="3"/>
  <c r="B50" i="1"/>
  <c r="B48" i="1" l="1"/>
  <c r="B51" i="1" s="1"/>
  <c r="B52" i="1" s="1"/>
  <c r="B54" i="1" s="1"/>
  <c r="B56" i="1" s="1"/>
  <c r="I10" i="3" l="1"/>
  <c r="G10" i="3"/>
  <c r="C10" i="3"/>
  <c r="H10" i="3"/>
  <c r="F10" i="3"/>
  <c r="E10" i="3"/>
  <c r="D10" i="3"/>
</calcChain>
</file>

<file path=xl/sharedStrings.xml><?xml version="1.0" encoding="utf-8"?>
<sst xmlns="http://schemas.openxmlformats.org/spreadsheetml/2006/main" count="87" uniqueCount="68">
  <si>
    <t>All data are sourced from Vietstock and Cafef</t>
  </si>
  <si>
    <t>Projection Period</t>
  </si>
  <si>
    <t>% growth</t>
  </si>
  <si>
    <t>N/A</t>
  </si>
  <si>
    <t>Revenue</t>
  </si>
  <si>
    <t>Gross profit</t>
  </si>
  <si>
    <t>% margin</t>
  </si>
  <si>
    <t>Selling, General &amp; Administrative</t>
  </si>
  <si>
    <t>Cost of goods sold</t>
  </si>
  <si>
    <t>Selling expenses</t>
  </si>
  <si>
    <t>Business administrative expenses</t>
  </si>
  <si>
    <t>% sales</t>
  </si>
  <si>
    <t>% revenue</t>
  </si>
  <si>
    <t>Depreciation &amp; Amortization</t>
  </si>
  <si>
    <t>EBITDA</t>
  </si>
  <si>
    <t>EBIT</t>
  </si>
  <si>
    <t>Tax</t>
  </si>
  <si>
    <t>NOPAT</t>
  </si>
  <si>
    <t>Plus:Depreciation &amp; Amortization</t>
  </si>
  <si>
    <t>Less:CapEX</t>
  </si>
  <si>
    <t>Less: [ increase ] in Net Working Capital</t>
  </si>
  <si>
    <t>Unlevered Cash Flow</t>
  </si>
  <si>
    <t>WACC</t>
  </si>
  <si>
    <t xml:space="preserve">Discount period ( mid year convention ) </t>
  </si>
  <si>
    <t>Discount factor</t>
  </si>
  <si>
    <t>Discounted Terminal Value</t>
  </si>
  <si>
    <t>Discounted unlevered cash flow</t>
  </si>
  <si>
    <t>Terminal value</t>
  </si>
  <si>
    <t>Discounted Terminal value</t>
  </si>
  <si>
    <t>Unlevered cash flow of year 2030</t>
  </si>
  <si>
    <t>Terminal growth rate</t>
  </si>
  <si>
    <t>PV of UFCF</t>
  </si>
  <si>
    <t>Enterprise Value</t>
  </si>
  <si>
    <t>Total current assets</t>
  </si>
  <si>
    <t>Net Working Capital</t>
  </si>
  <si>
    <t>Less: Total current liabilities</t>
  </si>
  <si>
    <t>Total liabilities</t>
  </si>
  <si>
    <t>Cash</t>
  </si>
  <si>
    <t>Net Debt</t>
  </si>
  <si>
    <t>Equity Value</t>
  </si>
  <si>
    <t>Shares outstanding</t>
  </si>
  <si>
    <t>Implied Value per share</t>
  </si>
  <si>
    <t>Unit : Million VND</t>
  </si>
  <si>
    <t>Historical Period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</si>
  <si>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</si>
  <si>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</si>
  <si>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</si>
  <si>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</si>
  <si>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</si>
  <si>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</si>
  <si>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</si>
  <si>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</si>
  <si>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</si>
  <si>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</si>
  <si>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</si>
  <si>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Metric</t>
  </si>
  <si>
    <t>Revenue ( VND mil )</t>
  </si>
  <si>
    <t>% YOY</t>
  </si>
  <si>
    <t>EBIT %YOY</t>
  </si>
  <si>
    <t>EPS</t>
  </si>
  <si>
    <t>EBITDA margin</t>
  </si>
  <si>
    <t>FCF/sales</t>
  </si>
  <si>
    <t>EV/EBITDA</t>
  </si>
  <si>
    <t>ROE</t>
  </si>
  <si>
    <t>EPS %YOY</t>
  </si>
  <si>
    <t>Net Income</t>
  </si>
  <si>
    <t>Total assets</t>
  </si>
  <si>
    <t>Book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</si>
</sst>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_(* #,##0_);_(* \(#,##0\);_(* &quot;-&quot;??_);_(@_)"/>
    <numFmt numFmtId="168" formatCode="#,##0.0"/>
    <numFmt numFmtId="17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70C0"/>
      <name val="Times New Roman"/>
      <family val="1"/>
    </font>
    <font>
      <b/>
      <sz val="11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5" xfId="0" applyFont="1" applyBorder="1" applyAlignment="1">
      <alignment horizontal="center"/>
    </xf>
    <xf numFmtId="0" fontId="3" fillId="0" borderId="0" xfId="0" applyFont="1"/>
    <xf numFmtId="166" fontId="2" fillId="0" borderId="0" xfId="1" applyNumberFormat="1" applyFont="1" applyBorder="1" applyAlignment="1">
      <alignment horizontal="right"/>
    </xf>
    <xf numFmtId="9" fontId="2" fillId="0" borderId="0" xfId="2" applyFont="1" applyBorder="1" applyAlignment="1">
      <alignment horizontal="right"/>
    </xf>
    <xf numFmtId="166" fontId="2" fillId="0" borderId="5" xfId="1" applyNumberFormat="1" applyFont="1" applyBorder="1" applyAlignment="1">
      <alignment horizontal="right"/>
    </xf>
    <xf numFmtId="166" fontId="2" fillId="0" borderId="0" xfId="1" applyNumberFormat="1" applyFont="1" applyAlignment="1">
      <alignment horizontal="right"/>
    </xf>
    <xf numFmtId="9" fontId="2" fillId="0" borderId="0" xfId="2" applyFont="1" applyAlignment="1">
      <alignment horizontal="right"/>
    </xf>
    <xf numFmtId="9" fontId="2" fillId="0" borderId="5" xfId="2" applyFont="1" applyBorder="1" applyAlignment="1">
      <alignment horizontal="right"/>
    </xf>
    <xf numFmtId="166" fontId="3" fillId="0" borderId="0" xfId="1" applyNumberFormat="1" applyFont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4" fontId="2" fillId="0" borderId="0" xfId="2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6" fontId="3" fillId="0" borderId="0" xfId="0" applyNumberFormat="1" applyFont="1" applyAlignment="1">
      <alignment horizontal="right"/>
    </xf>
    <xf numFmtId="0" fontId="2" fillId="0" borderId="5" xfId="0" applyFont="1" applyBorder="1" applyAlignment="1">
      <alignment horizontal="right"/>
    </xf>
    <xf numFmtId="4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0" borderId="5" xfId="0" applyNumberFormat="1" applyFont="1" applyBorder="1" applyAlignment="1">
      <alignment horizontal="center"/>
    </xf>
    <xf numFmtId="164" fontId="2" fillId="0" borderId="0" xfId="1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43" fontId="2" fillId="0" borderId="6" xfId="0" applyNumberFormat="1" applyFont="1" applyBorder="1" applyAlignment="1">
      <alignment horizontal="center"/>
    </xf>
    <xf numFmtId="9" fontId="2" fillId="0" borderId="6" xfId="2" applyFont="1" applyBorder="1" applyAlignment="1">
      <alignment horizontal="right"/>
    </xf>
    <xf numFmtId="43" fontId="2" fillId="0" borderId="7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7" xfId="2" applyFont="1" applyBorder="1" applyAlignment="1">
      <alignment horizontal="right"/>
    </xf>
    <xf numFmtId="166" fontId="3" fillId="0" borderId="6" xfId="1" applyNumberFormat="1" applyFont="1" applyBorder="1" applyAlignment="1">
      <alignment horizontal="right"/>
    </xf>
    <xf numFmtId="164" fontId="2" fillId="0" borderId="6" xfId="2" applyNumberFormat="1" applyFont="1" applyBorder="1" applyAlignment="1">
      <alignment horizontal="right"/>
    </xf>
    <xf numFmtId="166" fontId="3" fillId="0" borderId="7" xfId="1" applyNumberFormat="1" applyFont="1" applyBorder="1" applyAlignment="1">
      <alignment horizontal="right"/>
    </xf>
    <xf numFmtId="166" fontId="2" fillId="0" borderId="6" xfId="1" applyNumberFormat="1" applyFont="1" applyBorder="1" applyAlignment="1">
      <alignment horizontal="right"/>
    </xf>
    <xf numFmtId="165" fontId="2" fillId="0" borderId="6" xfId="0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right"/>
    </xf>
    <xf numFmtId="43" fontId="2" fillId="0" borderId="7" xfId="0" applyNumberFormat="1" applyFont="1" applyBorder="1" applyAlignment="1">
      <alignment horizontal="right"/>
    </xf>
    <xf numFmtId="166" fontId="3" fillId="0" borderId="6" xfId="0" applyNumberFormat="1" applyFont="1" applyBorder="1" applyAlignment="1">
      <alignment horizontal="right"/>
    </xf>
    <xf numFmtId="4" fontId="2" fillId="0" borderId="7" xfId="0" applyNumberFormat="1" applyFont="1" applyBorder="1" applyAlignment="1">
      <alignment horizontal="center"/>
    </xf>
    <xf numFmtId="166" fontId="2" fillId="0" borderId="7" xfId="1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43" fontId="2" fillId="0" borderId="8" xfId="0" applyNumberFormat="1" applyFont="1" applyBorder="1" applyAlignment="1">
      <alignment horizontal="center"/>
    </xf>
    <xf numFmtId="9" fontId="2" fillId="0" borderId="8" xfId="2" applyFont="1" applyBorder="1" applyAlignment="1">
      <alignment horizontal="right"/>
    </xf>
    <xf numFmtId="43" fontId="2" fillId="0" borderId="9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9" fontId="2" fillId="0" borderId="9" xfId="2" applyFont="1" applyBorder="1" applyAlignment="1">
      <alignment horizontal="right"/>
    </xf>
    <xf numFmtId="166" fontId="3" fillId="0" borderId="8" xfId="1" applyNumberFormat="1" applyFont="1" applyBorder="1" applyAlignment="1">
      <alignment horizontal="right"/>
    </xf>
    <xf numFmtId="164" fontId="2" fillId="0" borderId="8" xfId="2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2" fillId="0" borderId="8" xfId="1" applyNumberFormat="1" applyFont="1" applyBorder="1" applyAlignment="1">
      <alignment horizontal="right"/>
    </xf>
    <xf numFmtId="165" fontId="2" fillId="0" borderId="8" xfId="0" applyNumberFormat="1" applyFont="1" applyBorder="1" applyAlignment="1">
      <alignment horizontal="center"/>
    </xf>
    <xf numFmtId="164" fontId="2" fillId="0" borderId="8" xfId="1" applyNumberFormat="1" applyFont="1" applyBorder="1" applyAlignment="1">
      <alignment horizontal="right"/>
    </xf>
    <xf numFmtId="43" fontId="2" fillId="0" borderId="9" xfId="0" applyNumberFormat="1" applyFont="1" applyBorder="1" applyAlignment="1">
      <alignment horizontal="right"/>
    </xf>
    <xf numFmtId="166" fontId="3" fillId="0" borderId="8" xfId="0" applyNumberFormat="1" applyFont="1" applyBorder="1" applyAlignment="1">
      <alignment horizontal="right"/>
    </xf>
    <xf numFmtId="4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166" fontId="2" fillId="0" borderId="6" xfId="0" applyNumberFormat="1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166" fontId="3" fillId="2" borderId="1" xfId="1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9" fontId="5" fillId="0" borderId="6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4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2" fillId="0" borderId="6" xfId="2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168" fontId="2" fillId="0" borderId="0" xfId="2" applyNumberFormat="1" applyFont="1" applyBorder="1" applyAlignment="1">
      <alignment horizontal="right"/>
    </xf>
    <xf numFmtId="9" fontId="2" fillId="0" borderId="0" xfId="0" applyNumberFormat="1" applyFont="1" applyBorder="1" applyAlignment="1">
      <alignment horizontal="right"/>
    </xf>
    <xf numFmtId="9" fontId="2" fillId="0" borderId="8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77" fontId="2" fillId="0" borderId="2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9" fontId="2" fillId="0" borderId="12" xfId="0" applyNumberFormat="1" applyFont="1" applyBorder="1" applyAlignment="1">
      <alignment horizontal="center"/>
    </xf>
    <xf numFmtId="9" fontId="2" fillId="0" borderId="13" xfId="0" applyNumberFormat="1" applyFont="1" applyBorder="1" applyAlignment="1">
      <alignment horizontal="center"/>
    </xf>
    <xf numFmtId="43" fontId="2" fillId="0" borderId="0" xfId="0" applyNumberFormat="1" applyFont="1" applyBorder="1" applyAlignment="1">
      <alignment horizontal="right"/>
    </xf>
    <xf numFmtId="166" fontId="3" fillId="0" borderId="14" xfId="0" applyNumberFormat="1" applyFont="1" applyBorder="1" applyAlignment="1">
      <alignment horizontal="right"/>
    </xf>
    <xf numFmtId="0" fontId="3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right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191D7-71F9-4287-864B-945C5ABF8360}" name="Table1" displayName="Table1" ref="A4:L41" totalsRowShown="0" headerRowDxfId="18">
  <autoFilter ref="A4:L41" xr:uid="{3E6191D7-71F9-4287-864B-945C5ABF8360}"/>
  <tableColumns count="12">
    <tableColumn id="1" xr3:uid="{B77657FC-33B6-4C55-9F63-FEE213503BA5}" name="Metric" dataDxfId="17"/>
    <tableColumn id="2" xr3:uid="{8B4550F0-B758-413B-85E4-1FEDF127C7F0}" name="2020"/>
    <tableColumn id="3" xr3:uid="{D19001E3-52CF-4F24-84A7-E4F4FA3A6F3E}" name="2021" dataDxfId="16"/>
    <tableColumn id="4" xr3:uid="{9C0F76FF-9239-4CA7-B7F7-F0F06B023C4A}" name="2022" dataDxfId="15"/>
    <tableColumn id="5" xr3:uid="{AA1A162F-17E4-43DE-9257-D9A4D9E05C9E}" name="2023" dataDxfId="14"/>
    <tableColumn id="6" xr3:uid="{80328D96-65B3-48DF-A51C-EEA96B085372}" name="2024" dataDxfId="13"/>
    <tableColumn id="7" xr3:uid="{BD980CD4-E512-4610-AA13-F0695F45845A}" name="2025"/>
    <tableColumn id="8" xr3:uid="{E72DF8C6-5CFF-4D3B-8F1D-D2583296E50C}" name="2026"/>
    <tableColumn id="9" xr3:uid="{F3733F2A-F115-4BCD-9624-C07A723D0608}" name="2027"/>
    <tableColumn id="10" xr3:uid="{1517A2C2-0DB9-49DC-B6AF-A2B769361D53}" name="2028"/>
    <tableColumn id="11" xr3:uid="{986B9274-82A3-41FE-B2EC-11202F4711B3}" name="2029"/>
    <tableColumn id="12" xr3:uid="{6E39AB01-74F3-4403-8560-B9ABD08AB8B9}" name="203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6402FA-7B5D-4C5B-8CD4-49B56511A487}" name="Table2" displayName="Table2" ref="B1:I11" totalsRowShown="0" headerRowDxfId="0" dataDxfId="12" headerRowBorderDxfId="10" tableBorderDxfId="11" totalsRowBorderDxfId="9">
  <autoFilter ref="B1:I11" xr:uid="{AE6402FA-7B5D-4C5B-8CD4-49B56511A487}"/>
  <tableColumns count="8">
    <tableColumn id="1" xr3:uid="{D7EBADA9-47CC-4693-9E77-7F46E7AE91D9}" name="Metric" dataDxfId="8"/>
    <tableColumn id="2" xr3:uid="{C48E4087-D77C-4770-AFB2-48842B544668}" name="2024" dataDxfId="7"/>
    <tableColumn id="3" xr3:uid="{51CE904C-5852-4D76-83C1-5ABDEEB0194C}" name="2025" dataDxfId="6"/>
    <tableColumn id="4" xr3:uid="{01394022-7DBA-41DC-90AB-A9063CD3341E}" name="2026" dataDxfId="5"/>
    <tableColumn id="5" xr3:uid="{27256405-7F02-4D7B-9AAA-0DECC24BD822}" name="2027" dataDxfId="4"/>
    <tableColumn id="6" xr3:uid="{61DC19C0-9129-4A86-B290-B9B8CF8A3447}" name="2028" dataDxfId="3"/>
    <tableColumn id="7" xr3:uid="{83FB525A-6973-46BA-90E2-9E2A4D1DADF4}" name="2029" dataDxfId="2"/>
    <tableColumn id="8" xr3:uid="{82107BEE-53E8-4A45-88BB-F6FF3A76C626}" name="2030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0233-5C3F-41B1-A3FD-8115E8928260}">
  <dimension ref="A1:R56"/>
  <sheetViews>
    <sheetView topLeftCell="A9" zoomScale="124" zoomScaleNormal="85" workbookViewId="0">
      <selection activeCell="F50" sqref="F50"/>
    </sheetView>
  </sheetViews>
  <sheetFormatPr defaultRowHeight="14" x14ac:dyDescent="0.3"/>
  <cols>
    <col min="1" max="1" width="34.36328125" style="8" bestFit="1" customWidth="1"/>
    <col min="2" max="2" width="14.6328125" style="7" bestFit="1" customWidth="1"/>
    <col min="3" max="6" width="12.54296875" style="7" bestFit="1" customWidth="1"/>
    <col min="7" max="12" width="15.1796875" style="3" bestFit="1" customWidth="1"/>
    <col min="13" max="16384" width="8.7265625" style="1"/>
  </cols>
  <sheetData>
    <row r="1" spans="1:18" x14ac:dyDescent="0.3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18" x14ac:dyDescent="0.3">
      <c r="A2" s="102" t="s">
        <v>42</v>
      </c>
      <c r="B2" s="10"/>
      <c r="C2" s="10"/>
      <c r="D2" s="10"/>
      <c r="E2" s="10"/>
      <c r="F2" s="10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B3" s="75" t="s">
        <v>43</v>
      </c>
      <c r="C3" s="75"/>
      <c r="D3" s="75"/>
      <c r="E3" s="75"/>
      <c r="F3" s="75"/>
      <c r="G3" s="75" t="s">
        <v>1</v>
      </c>
      <c r="H3" s="75"/>
      <c r="I3" s="75"/>
      <c r="J3" s="75"/>
      <c r="K3" s="75"/>
      <c r="L3" s="75"/>
    </row>
    <row r="4" spans="1:18" x14ac:dyDescent="0.3">
      <c r="A4" s="8" t="s">
        <v>55</v>
      </c>
      <c r="B4" s="4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4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6" t="s">
        <v>54</v>
      </c>
    </row>
    <row r="5" spans="1:18" x14ac:dyDescent="0.3">
      <c r="A5" s="8" t="s">
        <v>4</v>
      </c>
      <c r="B5" s="40">
        <v>108546020</v>
      </c>
      <c r="C5" s="13">
        <v>122958106</v>
      </c>
      <c r="D5" s="13">
        <v>133404778</v>
      </c>
      <c r="E5" s="13">
        <v>118279788</v>
      </c>
      <c r="F5" s="13">
        <v>134341153</v>
      </c>
      <c r="G5" s="31">
        <f>F5*(1+F6)</f>
        <v>152583511.47340074</v>
      </c>
      <c r="H5" s="27">
        <f t="shared" ref="H5:L5" si="0">G5*(1+G6)</f>
        <v>173303023.33755776</v>
      </c>
      <c r="I5" s="27">
        <f t="shared" si="0"/>
        <v>194099386.13806471</v>
      </c>
      <c r="J5" s="27">
        <f t="shared" si="0"/>
        <v>213509324.7518712</v>
      </c>
      <c r="K5" s="27">
        <f t="shared" si="0"/>
        <v>230590070.73202091</v>
      </c>
      <c r="L5" s="49">
        <f t="shared" si="0"/>
        <v>244425474.97594219</v>
      </c>
    </row>
    <row r="6" spans="1:18" x14ac:dyDescent="0.3">
      <c r="A6" s="7" t="s">
        <v>2</v>
      </c>
      <c r="B6" s="40" t="s">
        <v>3</v>
      </c>
      <c r="C6" s="14">
        <f t="shared" ref="C6:F6" si="1">(C5-B5)/B5</f>
        <v>0.13277396997144622</v>
      </c>
      <c r="D6" s="14">
        <f t="shared" si="1"/>
        <v>8.4961230616223057E-2</v>
      </c>
      <c r="E6" s="14">
        <f t="shared" si="1"/>
        <v>-0.11337667380998903</v>
      </c>
      <c r="F6" s="14">
        <f t="shared" si="1"/>
        <v>0.1357912900554066</v>
      </c>
      <c r="G6" s="32">
        <f>(G5-F5)/F5</f>
        <v>0.13579129005540649</v>
      </c>
      <c r="H6" s="14">
        <v>0.12</v>
      </c>
      <c r="I6" s="14">
        <v>0.1</v>
      </c>
      <c r="J6" s="14">
        <v>0.08</v>
      </c>
      <c r="K6" s="14">
        <v>0.06</v>
      </c>
      <c r="L6" s="50">
        <v>0.05</v>
      </c>
    </row>
    <row r="7" spans="1:18" x14ac:dyDescent="0.3">
      <c r="A7" s="8" t="s">
        <v>8</v>
      </c>
      <c r="B7" s="46">
        <v>84591522</v>
      </c>
      <c r="C7" s="15">
        <v>95325974</v>
      </c>
      <c r="D7" s="15">
        <v>102542735</v>
      </c>
      <c r="E7" s="15">
        <v>95759175</v>
      </c>
      <c r="F7" s="15">
        <v>106841943</v>
      </c>
      <c r="G7" s="33">
        <f>G5*(1-G9)</f>
        <v>118852111.15712436</v>
      </c>
      <c r="H7" s="28">
        <f t="shared" ref="H7:L7" si="2">H5*(1-H9)</f>
        <v>134991192.65695885</v>
      </c>
      <c r="I7" s="28">
        <f t="shared" si="2"/>
        <v>151190135.77579397</v>
      </c>
      <c r="J7" s="28">
        <f t="shared" si="2"/>
        <v>166309149.35337338</v>
      </c>
      <c r="K7" s="28">
        <f t="shared" si="2"/>
        <v>179613881.30164325</v>
      </c>
      <c r="L7" s="51">
        <f t="shared" si="2"/>
        <v>190390714.17974186</v>
      </c>
    </row>
    <row r="8" spans="1:18" x14ac:dyDescent="0.3">
      <c r="A8" s="8" t="s">
        <v>5</v>
      </c>
      <c r="B8" s="40">
        <f>B5-B7</f>
        <v>23954498</v>
      </c>
      <c r="C8" s="16">
        <f t="shared" ref="C8:F8" si="3">C5-C7</f>
        <v>27632132</v>
      </c>
      <c r="D8" s="16">
        <f t="shared" si="3"/>
        <v>30862043</v>
      </c>
      <c r="E8" s="16">
        <f t="shared" si="3"/>
        <v>22520613</v>
      </c>
      <c r="F8" s="16">
        <f t="shared" si="3"/>
        <v>27499210</v>
      </c>
      <c r="G8" s="31">
        <f>F8*(1+F9)</f>
        <v>33578417.719983906</v>
      </c>
      <c r="H8" s="27">
        <f>G8*(1+G9)</f>
        <v>41001546.465434067</v>
      </c>
      <c r="I8" s="27">
        <f t="shared" ref="H8:L8" si="4">H8*(1+H9)</f>
        <v>50065694.773838036</v>
      </c>
      <c r="J8" s="27">
        <f t="shared" si="4"/>
        <v>61133640.295744807</v>
      </c>
      <c r="K8" s="27">
        <f t="shared" si="4"/>
        <v>74648359.374460548</v>
      </c>
      <c r="L8" s="49">
        <f t="shared" si="4"/>
        <v>91150756.446716562</v>
      </c>
    </row>
    <row r="9" spans="1:18" x14ac:dyDescent="0.3">
      <c r="A9" s="7" t="s">
        <v>6</v>
      </c>
      <c r="B9" s="40" t="s">
        <v>3</v>
      </c>
      <c r="C9" s="17">
        <f t="shared" ref="C9:F9" si="5">(C8-B8)/B8</f>
        <v>0.15352582216500635</v>
      </c>
      <c r="D9" s="17">
        <f t="shared" si="5"/>
        <v>0.11688967756812974</v>
      </c>
      <c r="E9" s="17">
        <f t="shared" si="5"/>
        <v>-0.27028119946563484</v>
      </c>
      <c r="F9" s="17">
        <f>(F8-E8)/E8</f>
        <v>0.22106844960214894</v>
      </c>
      <c r="G9" s="32">
        <f>(G8-F8)/F8</f>
        <v>0.22106844960214878</v>
      </c>
      <c r="H9" s="17">
        <f>(H8-G8)/G8</f>
        <v>0.22106844960214878</v>
      </c>
      <c r="I9" s="17">
        <f t="shared" ref="I9" si="6">(I8-H8)/H8</f>
        <v>0.22106844960214869</v>
      </c>
      <c r="J9" s="17">
        <f t="shared" ref="J9" si="7">(J8-I8)/I8</f>
        <v>0.22106844960214864</v>
      </c>
      <c r="K9" s="17">
        <f t="shared" ref="K9" si="8">(K8-J8)/J8</f>
        <v>0.22106844960214861</v>
      </c>
      <c r="L9" s="50">
        <f t="shared" ref="L9" si="9">(L8-K8)/K8</f>
        <v>0.22106844960214866</v>
      </c>
    </row>
    <row r="10" spans="1:18" x14ac:dyDescent="0.3">
      <c r="A10" s="8" t="s">
        <v>7</v>
      </c>
      <c r="B10" s="40">
        <f>SUM(B12:B13)</f>
        <v>18738231</v>
      </c>
      <c r="C10" s="16">
        <f t="shared" ref="C10:F10" si="10">SUM(C12:C13)</f>
        <v>21737563</v>
      </c>
      <c r="D10" s="16">
        <f t="shared" si="10"/>
        <v>24217866</v>
      </c>
      <c r="E10" s="16">
        <f t="shared" si="10"/>
        <v>22084363</v>
      </c>
      <c r="F10" s="16">
        <f t="shared" si="10"/>
        <v>23415606</v>
      </c>
      <c r="G10" s="31">
        <f>F10*(1+F11)</f>
        <v>27496936.196319189</v>
      </c>
      <c r="H10" s="27">
        <f t="shared" ref="H10:L10" si="11">G10*(1+G11)</f>
        <v>32452134.126183666</v>
      </c>
      <c r="I10" s="27">
        <f t="shared" si="11"/>
        <v>38529010.276765972</v>
      </c>
      <c r="J10" s="27">
        <f t="shared" si="11"/>
        <v>46177074.819593579</v>
      </c>
      <c r="K10" s="27">
        <f t="shared" si="11"/>
        <v>56164096.423321716</v>
      </c>
      <c r="L10" s="49">
        <f t="shared" si="11"/>
        <v>69843808.290508121</v>
      </c>
    </row>
    <row r="11" spans="1:18" x14ac:dyDescent="0.3">
      <c r="A11" s="7" t="s">
        <v>12</v>
      </c>
      <c r="B11" s="32">
        <f>B10/B5</f>
        <v>0.17262936955219546</v>
      </c>
      <c r="C11" s="17">
        <f t="shared" ref="C11:F11" si="12">C10/C5</f>
        <v>0.17678836887744515</v>
      </c>
      <c r="D11" s="17">
        <f t="shared" si="12"/>
        <v>0.18153672127095777</v>
      </c>
      <c r="E11" s="17">
        <f t="shared" si="12"/>
        <v>0.18671290651958219</v>
      </c>
      <c r="F11" s="17">
        <f>F10/F5</f>
        <v>0.17429957594602452</v>
      </c>
      <c r="G11" s="32">
        <f t="shared" ref="G11" si="13">G10/G5</f>
        <v>0.18020909291442422</v>
      </c>
      <c r="H11" s="17">
        <f t="shared" ref="H11" si="14">H10/H5</f>
        <v>0.18725659541999881</v>
      </c>
      <c r="I11" s="17">
        <f t="shared" ref="I11" si="15">I10/I5</f>
        <v>0.19850145352525703</v>
      </c>
      <c r="J11" s="17">
        <f t="shared" ref="J11" si="16">J10/J5</f>
        <v>0.2162766187062698</v>
      </c>
      <c r="K11" s="17">
        <f t="shared" ref="K11" si="17">K10/K5</f>
        <v>0.24356684676415463</v>
      </c>
      <c r="L11" s="50">
        <f t="shared" ref="L11" si="18">L10/L5</f>
        <v>0.28574684491206392</v>
      </c>
    </row>
    <row r="12" spans="1:18" x14ac:dyDescent="0.3">
      <c r="A12" s="8" t="s">
        <v>9</v>
      </c>
      <c r="B12" s="40">
        <v>15333799</v>
      </c>
      <c r="C12" s="16">
        <v>17914173</v>
      </c>
      <c r="D12" s="16">
        <v>22336838</v>
      </c>
      <c r="E12" s="16">
        <v>20916711</v>
      </c>
      <c r="F12" s="16">
        <v>19849838</v>
      </c>
      <c r="G12" s="34"/>
      <c r="L12" s="52"/>
    </row>
    <row r="13" spans="1:18" x14ac:dyDescent="0.3">
      <c r="A13" s="8" t="s">
        <v>10</v>
      </c>
      <c r="B13" s="46">
        <v>3404432</v>
      </c>
      <c r="C13" s="15">
        <v>3823390</v>
      </c>
      <c r="D13" s="15">
        <v>1881028</v>
      </c>
      <c r="E13" s="15">
        <v>1167652</v>
      </c>
      <c r="F13" s="15">
        <v>3565768</v>
      </c>
      <c r="G13" s="35"/>
      <c r="H13" s="11"/>
      <c r="I13" s="11"/>
      <c r="J13" s="11"/>
      <c r="K13" s="11"/>
      <c r="L13" s="53"/>
    </row>
    <row r="14" spans="1:18" x14ac:dyDescent="0.3">
      <c r="A14" s="8" t="s">
        <v>13</v>
      </c>
      <c r="B14" s="40">
        <v>2195583</v>
      </c>
      <c r="C14" s="16">
        <v>2920714</v>
      </c>
      <c r="D14" s="16">
        <v>3540325</v>
      </c>
      <c r="E14" s="16">
        <v>3351314</v>
      </c>
      <c r="F14" s="16">
        <v>2913419</v>
      </c>
      <c r="G14" s="31">
        <f>F14*(1+F15)</f>
        <v>2976601.5027552131</v>
      </c>
      <c r="H14" s="27">
        <f t="shared" ref="H14:L14" si="19">G14*(1+G15)</f>
        <v>3034669.0909280619</v>
      </c>
      <c r="I14" s="27">
        <f t="shared" si="19"/>
        <v>3087808.4783090688</v>
      </c>
      <c r="J14" s="27">
        <f t="shared" si="19"/>
        <v>3136930.5357685154</v>
      </c>
      <c r="K14" s="27">
        <f t="shared" si="19"/>
        <v>3183019.0763869304</v>
      </c>
      <c r="L14" s="49">
        <f t="shared" si="19"/>
        <v>3226956.833153645</v>
      </c>
    </row>
    <row r="15" spans="1:18" x14ac:dyDescent="0.3">
      <c r="A15" s="7" t="s">
        <v>11</v>
      </c>
      <c r="B15" s="36">
        <f>B14/B5</f>
        <v>2.0227208699130562E-2</v>
      </c>
      <c r="C15" s="18">
        <f t="shared" ref="C15:F15" si="20">C14/C5</f>
        <v>2.3753732836450814E-2</v>
      </c>
      <c r="D15" s="18">
        <f t="shared" si="20"/>
        <v>2.6538217394282533E-2</v>
      </c>
      <c r="E15" s="18">
        <f t="shared" si="20"/>
        <v>2.8333784297956299E-2</v>
      </c>
      <c r="F15" s="18">
        <f t="shared" si="20"/>
        <v>2.1686720226377691E-2</v>
      </c>
      <c r="G15" s="36">
        <f t="shared" ref="G15" si="21">G14/G5</f>
        <v>1.950801547304875E-2</v>
      </c>
      <c r="H15" s="18">
        <f t="shared" ref="H15" si="22">H14/H5</f>
        <v>1.7510768320626272E-2</v>
      </c>
      <c r="I15" s="18">
        <f t="shared" ref="I15" si="23">I14/I5</f>
        <v>1.5908388685540106E-2</v>
      </c>
      <c r="J15" s="18">
        <f t="shared" ref="J15" si="24">J14/J5</f>
        <v>1.4692241378282114E-2</v>
      </c>
      <c r="K15" s="18">
        <f t="shared" ref="K15" si="25">K14/K5</f>
        <v>1.380379938425909E-2</v>
      </c>
      <c r="L15" s="54">
        <f t="shared" ref="L15" si="26">L14/L5</f>
        <v>1.3202211567641472E-2</v>
      </c>
    </row>
    <row r="16" spans="1:18" s="12" customFormat="1" x14ac:dyDescent="0.3">
      <c r="A16" s="9" t="s">
        <v>14</v>
      </c>
      <c r="B16" s="37">
        <f>B8-B10+B14</f>
        <v>7411850</v>
      </c>
      <c r="C16" s="19">
        <f t="shared" ref="C16:L16" si="27">C8-C10+C14</f>
        <v>8815283</v>
      </c>
      <c r="D16" s="19">
        <f t="shared" si="27"/>
        <v>10184502</v>
      </c>
      <c r="E16" s="19">
        <f t="shared" si="27"/>
        <v>3787564</v>
      </c>
      <c r="F16" s="19">
        <f t="shared" si="27"/>
        <v>6997023</v>
      </c>
      <c r="G16" s="37">
        <f t="shared" si="27"/>
        <v>9058083.0264199302</v>
      </c>
      <c r="H16" s="19">
        <f t="shared" si="27"/>
        <v>11584081.430178463</v>
      </c>
      <c r="I16" s="19">
        <f t="shared" si="27"/>
        <v>14624492.975381132</v>
      </c>
      <c r="J16" s="19">
        <f t="shared" si="27"/>
        <v>18093496.011919744</v>
      </c>
      <c r="K16" s="19">
        <f t="shared" si="27"/>
        <v>21667282.02752576</v>
      </c>
      <c r="L16" s="55">
        <f t="shared" si="27"/>
        <v>24533904.989362087</v>
      </c>
    </row>
    <row r="17" spans="1:12" x14ac:dyDescent="0.3">
      <c r="A17" s="7" t="s">
        <v>6</v>
      </c>
      <c r="B17" s="32">
        <f>B16/B5</f>
        <v>6.8283019497168113E-2</v>
      </c>
      <c r="C17" s="17">
        <f t="shared" ref="C17:F17" si="28">C16/C5</f>
        <v>7.1693386363644862E-2</v>
      </c>
      <c r="D17" s="17">
        <f t="shared" si="28"/>
        <v>7.6342857824777455E-2</v>
      </c>
      <c r="E17" s="17">
        <f t="shared" si="28"/>
        <v>3.2022072951297477E-2</v>
      </c>
      <c r="F17" s="17">
        <f t="shared" si="28"/>
        <v>5.2083987994356429E-2</v>
      </c>
      <c r="G17" s="32">
        <f t="shared" ref="G17" si="29">G16/G5</f>
        <v>5.9364756643439737E-2</v>
      </c>
      <c r="H17" s="17">
        <f t="shared" ref="H17" si="30">H16/H5</f>
        <v>6.6842927532863139E-2</v>
      </c>
      <c r="I17" s="17">
        <f t="shared" ref="I17" si="31">I16/I5</f>
        <v>7.5345384992503761E-2</v>
      </c>
      <c r="J17" s="17">
        <f t="shared" ref="J17" si="32">J16/J5</f>
        <v>8.4743352698749858E-2</v>
      </c>
      <c r="K17" s="17">
        <f t="shared" ref="K17" si="33">K16/K5</f>
        <v>9.3964505751447908E-2</v>
      </c>
      <c r="L17" s="50">
        <f t="shared" ref="L17" si="34">L16/L5</f>
        <v>0.10037376419858388</v>
      </c>
    </row>
    <row r="18" spans="1:12" s="12" customFormat="1" x14ac:dyDescent="0.3">
      <c r="A18" s="9" t="s">
        <v>15</v>
      </c>
      <c r="B18" s="37">
        <f>B16-B14</f>
        <v>5216267</v>
      </c>
      <c r="C18" s="19">
        <f t="shared" ref="C18:F18" si="35">C16-C14</f>
        <v>5894569</v>
      </c>
      <c r="D18" s="19">
        <f t="shared" si="35"/>
        <v>6644177</v>
      </c>
      <c r="E18" s="19">
        <f t="shared" si="35"/>
        <v>436250</v>
      </c>
      <c r="F18" s="19">
        <f t="shared" si="35"/>
        <v>4083604</v>
      </c>
      <c r="G18" s="37">
        <f t="shared" ref="G18" si="36">G16-G14</f>
        <v>6081481.5236647166</v>
      </c>
      <c r="H18" s="19">
        <f t="shared" ref="H18" si="37">H16-H14</f>
        <v>8549412.3392504007</v>
      </c>
      <c r="I18" s="19">
        <f t="shared" ref="I18" si="38">I16-I14</f>
        <v>11536684.497072063</v>
      </c>
      <c r="J18" s="19">
        <f t="shared" ref="J18" si="39">J16-J14</f>
        <v>14956565.476151228</v>
      </c>
      <c r="K18" s="19">
        <f t="shared" ref="K18" si="40">K16-K14</f>
        <v>18484262.951138832</v>
      </c>
      <c r="L18" s="55">
        <f t="shared" ref="L18" si="41">L16-L14</f>
        <v>21306948.156208441</v>
      </c>
    </row>
    <row r="19" spans="1:12" x14ac:dyDescent="0.3">
      <c r="A19" s="7" t="s">
        <v>6</v>
      </c>
      <c r="B19" s="38">
        <f>B18/B5</f>
        <v>4.805581079803755E-2</v>
      </c>
      <c r="C19" s="21">
        <f t="shared" ref="C19:F19" si="42">C18/C5</f>
        <v>4.7939653527194051E-2</v>
      </c>
      <c r="D19" s="21">
        <f t="shared" si="42"/>
        <v>4.9804640430494929E-2</v>
      </c>
      <c r="E19" s="21">
        <f>E18/E5</f>
        <v>3.6882886533411777E-3</v>
      </c>
      <c r="F19" s="21">
        <f t="shared" si="42"/>
        <v>3.0397267767978738E-2</v>
      </c>
      <c r="G19" s="38">
        <f t="shared" ref="G19" si="43">G18/G5</f>
        <v>3.9856741170390987E-2</v>
      </c>
      <c r="H19" s="21">
        <f t="shared" ref="H19" si="44">H18/H5</f>
        <v>4.9332159212236867E-2</v>
      </c>
      <c r="I19" s="21">
        <f t="shared" ref="I19" si="45">I18/I5</f>
        <v>5.9436996306963648E-2</v>
      </c>
      <c r="J19" s="21">
        <f t="shared" ref="J19" si="46">J18/J5</f>
        <v>7.0051111320467749E-2</v>
      </c>
      <c r="K19" s="21">
        <f t="shared" ref="K19" si="47">K18/K5</f>
        <v>8.0160706367188833E-2</v>
      </c>
      <c r="L19" s="56">
        <f t="shared" ref="L19" si="48">L18/L5</f>
        <v>8.7171552630942409E-2</v>
      </c>
    </row>
    <row r="20" spans="1:12" s="12" customFormat="1" x14ac:dyDescent="0.3">
      <c r="A20" s="9" t="s">
        <v>16</v>
      </c>
      <c r="B20" s="37">
        <f>B18*20%</f>
        <v>1043253.4</v>
      </c>
      <c r="C20" s="19">
        <f t="shared" ref="C20:F20" si="49">C18*20%</f>
        <v>1178913.8</v>
      </c>
      <c r="D20" s="19">
        <f t="shared" si="49"/>
        <v>1328835.4000000001</v>
      </c>
      <c r="E20" s="19">
        <f t="shared" si="49"/>
        <v>87250</v>
      </c>
      <c r="F20" s="19">
        <f t="shared" si="49"/>
        <v>816720.8</v>
      </c>
      <c r="G20" s="37">
        <f t="shared" ref="G20" si="50">G18*20%</f>
        <v>1216296.3047329434</v>
      </c>
      <c r="H20" s="19">
        <f t="shared" ref="H20" si="51">H18*20%</f>
        <v>1709882.4678500802</v>
      </c>
      <c r="I20" s="19">
        <f t="shared" ref="I20" si="52">I18*20%</f>
        <v>2307336.8994144127</v>
      </c>
      <c r="J20" s="19">
        <f t="shared" ref="J20" si="53">J18*20%</f>
        <v>2991313.095230246</v>
      </c>
      <c r="K20" s="19">
        <f t="shared" ref="K20" si="54">K18*20%</f>
        <v>3696852.5902277664</v>
      </c>
      <c r="L20" s="55">
        <f t="shared" ref="L20" si="55">L18*20%</f>
        <v>4261389.6312416885</v>
      </c>
    </row>
    <row r="21" spans="1:12" x14ac:dyDescent="0.3">
      <c r="A21" s="7" t="s">
        <v>6</v>
      </c>
      <c r="B21" s="38">
        <f>B20/B5</f>
        <v>9.6111621596075107E-3</v>
      </c>
      <c r="C21" s="21">
        <f t="shared" ref="C21:F21" si="56">C20/C5</f>
        <v>9.5879307054388112E-3</v>
      </c>
      <c r="D21" s="21">
        <f t="shared" si="56"/>
        <v>9.9609280860989864E-3</v>
      </c>
      <c r="E21" s="21">
        <f t="shared" si="56"/>
        <v>7.3765773066823551E-4</v>
      </c>
      <c r="F21" s="21">
        <f t="shared" si="56"/>
        <v>6.0794535535957477E-3</v>
      </c>
      <c r="G21" s="38">
        <f t="shared" ref="G21" si="57">G20/G5</f>
        <v>7.9713482340781974E-3</v>
      </c>
      <c r="H21" s="21">
        <f t="shared" ref="H21" si="58">H20/H5</f>
        <v>9.8664318424473742E-3</v>
      </c>
      <c r="I21" s="21">
        <f t="shared" ref="I21" si="59">I20/I5</f>
        <v>1.188739926139273E-2</v>
      </c>
      <c r="J21" s="21">
        <f t="shared" ref="J21" si="60">J20/J5</f>
        <v>1.401022226409355E-2</v>
      </c>
      <c r="K21" s="21">
        <f t="shared" ref="K21" si="61">K20/K5</f>
        <v>1.6032141273437765E-2</v>
      </c>
      <c r="L21" s="56">
        <f t="shared" ref="L21" si="62">L20/L5</f>
        <v>1.7434310526188483E-2</v>
      </c>
    </row>
    <row r="22" spans="1:12" x14ac:dyDescent="0.3">
      <c r="A22" s="9" t="s">
        <v>65</v>
      </c>
      <c r="B22" s="76">
        <f>B18-B20</f>
        <v>4173013.6</v>
      </c>
      <c r="C22" s="79">
        <f t="shared" ref="C22:L22" si="63">C18-C20</f>
        <v>4715655.2</v>
      </c>
      <c r="D22" s="79">
        <f t="shared" si="63"/>
        <v>5315341.5999999996</v>
      </c>
      <c r="E22" s="79">
        <f t="shared" si="63"/>
        <v>349000</v>
      </c>
      <c r="F22" s="79">
        <f t="shared" si="63"/>
        <v>3266883.2</v>
      </c>
      <c r="G22" s="76">
        <f t="shared" si="63"/>
        <v>4865185.2189317737</v>
      </c>
      <c r="H22" s="79">
        <f t="shared" si="63"/>
        <v>6839529.8714003209</v>
      </c>
      <c r="I22" s="79">
        <f t="shared" si="63"/>
        <v>9229347.5976576507</v>
      </c>
      <c r="J22" s="79">
        <f t="shared" si="63"/>
        <v>11965252.380920982</v>
      </c>
      <c r="K22" s="79">
        <f t="shared" si="63"/>
        <v>14787410.360911066</v>
      </c>
      <c r="L22" s="79">
        <f t="shared" si="63"/>
        <v>17045558.524966754</v>
      </c>
    </row>
    <row r="23" spans="1:12" s="12" customFormat="1" x14ac:dyDescent="0.3">
      <c r="A23" s="9" t="s">
        <v>17</v>
      </c>
      <c r="B23" s="39">
        <f>B18*(1-20%)</f>
        <v>4173013.6</v>
      </c>
      <c r="C23" s="20">
        <f t="shared" ref="C23:L23" si="64">C18*(1-20%)</f>
        <v>4715655.2</v>
      </c>
      <c r="D23" s="20">
        <f t="shared" si="64"/>
        <v>5315341.6000000006</v>
      </c>
      <c r="E23" s="20">
        <f t="shared" si="64"/>
        <v>349000</v>
      </c>
      <c r="F23" s="20">
        <f t="shared" si="64"/>
        <v>3266883.2</v>
      </c>
      <c r="G23" s="39">
        <f t="shared" si="64"/>
        <v>4865185.2189317737</v>
      </c>
      <c r="H23" s="20">
        <f t="shared" si="64"/>
        <v>6839529.8714003209</v>
      </c>
      <c r="I23" s="20">
        <f t="shared" si="64"/>
        <v>9229347.5976576507</v>
      </c>
      <c r="J23" s="20">
        <f t="shared" si="64"/>
        <v>11965252.380920984</v>
      </c>
      <c r="K23" s="20">
        <f t="shared" si="64"/>
        <v>14787410.360911066</v>
      </c>
      <c r="L23" s="57">
        <f t="shared" si="64"/>
        <v>17045558.524966754</v>
      </c>
    </row>
    <row r="24" spans="1:12" x14ac:dyDescent="0.3">
      <c r="A24" s="8" t="s">
        <v>18</v>
      </c>
      <c r="B24" s="40">
        <f>B14</f>
        <v>2195583</v>
      </c>
      <c r="C24" s="16">
        <f t="shared" ref="C24:L24" si="65">C14</f>
        <v>2920714</v>
      </c>
      <c r="D24" s="16">
        <f t="shared" si="65"/>
        <v>3540325</v>
      </c>
      <c r="E24" s="16">
        <f t="shared" si="65"/>
        <v>3351314</v>
      </c>
      <c r="F24" s="16">
        <f t="shared" si="65"/>
        <v>2913419</v>
      </c>
      <c r="G24" s="40">
        <f t="shared" si="65"/>
        <v>2976601.5027552131</v>
      </c>
      <c r="H24" s="16">
        <f t="shared" si="65"/>
        <v>3034669.0909280619</v>
      </c>
      <c r="I24" s="16">
        <f t="shared" si="65"/>
        <v>3087808.4783090688</v>
      </c>
      <c r="J24" s="16">
        <f t="shared" si="65"/>
        <v>3136930.5357685154</v>
      </c>
      <c r="K24" s="16">
        <f t="shared" si="65"/>
        <v>3183019.0763869304</v>
      </c>
      <c r="L24" s="58">
        <f t="shared" si="65"/>
        <v>3226956.833153645</v>
      </c>
    </row>
    <row r="25" spans="1:12" x14ac:dyDescent="0.3">
      <c r="A25" s="8" t="s">
        <v>19</v>
      </c>
      <c r="B25" s="40">
        <v>3911358</v>
      </c>
      <c r="C25" s="16">
        <v>4976877</v>
      </c>
      <c r="D25" s="16">
        <v>4465360</v>
      </c>
      <c r="E25" s="16">
        <v>523383</v>
      </c>
      <c r="F25" s="16">
        <v>303748</v>
      </c>
      <c r="G25" s="41">
        <f>F25*(1+F26)</f>
        <v>304434.78022663685</v>
      </c>
      <c r="H25" s="30">
        <f t="shared" ref="H25:L25" si="66">G25*(1+G26)</f>
        <v>305042.18881565594</v>
      </c>
      <c r="I25" s="30">
        <f t="shared" si="66"/>
        <v>305579.1138800052</v>
      </c>
      <c r="J25" s="30">
        <f t="shared" si="66"/>
        <v>306060.20038263465</v>
      </c>
      <c r="K25" s="30">
        <f t="shared" si="66"/>
        <v>306498.929915254</v>
      </c>
      <c r="L25" s="59">
        <f t="shared" si="66"/>
        <v>306906.32644252415</v>
      </c>
    </row>
    <row r="26" spans="1:12" x14ac:dyDescent="0.3">
      <c r="A26" s="7" t="s">
        <v>12</v>
      </c>
      <c r="B26" s="42">
        <f>B25/B5</f>
        <v>3.6034098716839179E-2</v>
      </c>
      <c r="C26" s="29">
        <f t="shared" ref="C26:D26" si="67">C25/C5</f>
        <v>4.0476200893985792E-2</v>
      </c>
      <c r="D26" s="29">
        <f t="shared" si="67"/>
        <v>3.3472264389211005E-2</v>
      </c>
      <c r="E26" s="29">
        <f>E25/E5</f>
        <v>4.4249572040152797E-3</v>
      </c>
      <c r="F26" s="29">
        <f>F25/F5</f>
        <v>2.2610197487288202E-3</v>
      </c>
      <c r="G26" s="42">
        <f t="shared" ref="G26:L26" si="68">G25/G5</f>
        <v>1.9952010363826745E-3</v>
      </c>
      <c r="H26" s="29">
        <f t="shared" si="68"/>
        <v>1.760166573790799E-3</v>
      </c>
      <c r="I26" s="29">
        <f t="shared" si="68"/>
        <v>1.5743435358556153E-3</v>
      </c>
      <c r="J26" s="29">
        <f t="shared" si="68"/>
        <v>1.4334746303859139E-3</v>
      </c>
      <c r="K26" s="29">
        <f t="shared" si="68"/>
        <v>1.3291939628721056E-3</v>
      </c>
      <c r="L26" s="60">
        <f t="shared" si="68"/>
        <v>1.255623320248152E-3</v>
      </c>
    </row>
    <row r="27" spans="1:12" x14ac:dyDescent="0.3">
      <c r="A27" s="8" t="s">
        <v>20</v>
      </c>
      <c r="B27" s="47"/>
      <c r="C27" s="25">
        <f>(C5-B5)*5%</f>
        <v>720604.3</v>
      </c>
      <c r="D27" s="25">
        <f t="shared" ref="D27:L27" si="69">(D5-C5)*5%</f>
        <v>522333.60000000003</v>
      </c>
      <c r="E27" s="25">
        <f t="shared" si="69"/>
        <v>-756249.5</v>
      </c>
      <c r="F27" s="25">
        <f t="shared" si="69"/>
        <v>803068.25</v>
      </c>
      <c r="G27" s="43">
        <f t="shared" si="69"/>
        <v>912117.92367003718</v>
      </c>
      <c r="H27" s="100">
        <f t="shared" si="69"/>
        <v>1035975.5932078511</v>
      </c>
      <c r="I27" s="100">
        <f t="shared" si="69"/>
        <v>1039818.1400253475</v>
      </c>
      <c r="J27" s="100">
        <f t="shared" si="69"/>
        <v>970496.9306903244</v>
      </c>
      <c r="K27" s="100">
        <f t="shared" si="69"/>
        <v>854037.29900748585</v>
      </c>
      <c r="L27" s="61">
        <f t="shared" si="69"/>
        <v>691770.21219606407</v>
      </c>
    </row>
    <row r="28" spans="1:12" x14ac:dyDescent="0.3">
      <c r="A28" s="9" t="s">
        <v>21</v>
      </c>
      <c r="B28" s="44">
        <f>B23+B24-B25-B27</f>
        <v>2457238.5999999996</v>
      </c>
      <c r="C28" s="77">
        <f t="shared" ref="C28:F28" si="70">C23+C24-C25-C27</f>
        <v>1938887.9000000001</v>
      </c>
      <c r="D28" s="77">
        <f t="shared" si="70"/>
        <v>3867973.0000000014</v>
      </c>
      <c r="E28" s="77">
        <f t="shared" si="70"/>
        <v>3933180.5</v>
      </c>
      <c r="F28" s="77">
        <f t="shared" ref="F28" si="71">F23+F24-F25-F27</f>
        <v>5073485.95</v>
      </c>
      <c r="G28" s="44">
        <f t="shared" ref="G28" si="72">G23+G24-G25-G27</f>
        <v>6625234.0177903138</v>
      </c>
      <c r="H28" s="101">
        <f t="shared" ref="H28" si="73">H23+H24-H25-H27</f>
        <v>8533181.1803048756</v>
      </c>
      <c r="I28" s="101">
        <f t="shared" ref="I28" si="74">I23+I24-I25-I27</f>
        <v>10971758.822061367</v>
      </c>
      <c r="J28" s="101">
        <f t="shared" ref="J28" si="75">J23+J24-J25-J27</f>
        <v>13825625.785616541</v>
      </c>
      <c r="K28" s="101">
        <f t="shared" ref="K28" si="76">K23+K24-K25-K27</f>
        <v>16809893.208375257</v>
      </c>
      <c r="L28" s="77">
        <f t="shared" ref="L28" si="77">L23+L24-L25-L27</f>
        <v>19273838.819481812</v>
      </c>
    </row>
    <row r="29" spans="1:12" x14ac:dyDescent="0.3">
      <c r="A29" s="8" t="s">
        <v>33</v>
      </c>
      <c r="B29" s="66">
        <v>37317234</v>
      </c>
      <c r="C29" s="22">
        <v>51955258</v>
      </c>
      <c r="D29" s="22">
        <v>44577607</v>
      </c>
      <c r="E29" s="22">
        <v>51950338</v>
      </c>
      <c r="F29" s="22">
        <v>65836423</v>
      </c>
      <c r="G29" s="66"/>
      <c r="H29" s="22"/>
      <c r="I29" s="22"/>
      <c r="J29" s="22"/>
      <c r="K29" s="22"/>
      <c r="L29" s="67"/>
    </row>
    <row r="30" spans="1:12" x14ac:dyDescent="0.3">
      <c r="A30" s="8" t="s">
        <v>35</v>
      </c>
      <c r="B30" s="66">
        <v>29422513</v>
      </c>
      <c r="C30" s="22">
        <v>42593159</v>
      </c>
      <c r="D30" s="22">
        <v>26000264</v>
      </c>
      <c r="E30" s="22">
        <v>30765261</v>
      </c>
      <c r="F30" s="22">
        <v>42316199</v>
      </c>
      <c r="G30" s="44"/>
      <c r="H30" s="23"/>
      <c r="I30" s="23"/>
      <c r="J30" s="23"/>
      <c r="K30" s="23"/>
      <c r="L30" s="62"/>
    </row>
    <row r="31" spans="1:12" x14ac:dyDescent="0.3">
      <c r="A31" s="9" t="s">
        <v>34</v>
      </c>
      <c r="B31" s="44">
        <f>B29-B30</f>
        <v>7894721</v>
      </c>
      <c r="C31" s="23">
        <f>C29-C30</f>
        <v>9362099</v>
      </c>
      <c r="D31" s="23">
        <f>D29-D30</f>
        <v>18577343</v>
      </c>
      <c r="E31" s="23">
        <f>E29-E30</f>
        <v>21185077</v>
      </c>
      <c r="F31" s="23">
        <f>F29-F30</f>
        <v>23520224</v>
      </c>
      <c r="G31" s="44"/>
      <c r="H31" s="23"/>
      <c r="I31" s="23"/>
      <c r="J31" s="23"/>
      <c r="K31" s="23"/>
      <c r="L31" s="62"/>
    </row>
    <row r="32" spans="1:12" x14ac:dyDescent="0.3">
      <c r="A32" s="8" t="s">
        <v>66</v>
      </c>
      <c r="B32" s="44">
        <v>46030880</v>
      </c>
      <c r="C32" s="78">
        <v>62971405</v>
      </c>
      <c r="D32" s="78">
        <v>55834096</v>
      </c>
      <c r="E32" s="78">
        <v>60111237</v>
      </c>
      <c r="F32" s="67">
        <v>70437776</v>
      </c>
      <c r="G32" s="77"/>
      <c r="H32" s="23"/>
      <c r="I32" s="23"/>
      <c r="J32" s="23"/>
      <c r="K32" s="23"/>
      <c r="L32" s="62"/>
    </row>
    <row r="33" spans="1:12" x14ac:dyDescent="0.3">
      <c r="A33" s="8" t="s">
        <v>36</v>
      </c>
      <c r="B33" s="66">
        <v>30549190</v>
      </c>
      <c r="C33" s="22">
        <v>42593159</v>
      </c>
      <c r="D33" s="22">
        <v>31901514</v>
      </c>
      <c r="E33" s="22">
        <v>36751679</v>
      </c>
      <c r="F33" s="22">
        <v>42316199</v>
      </c>
      <c r="G33" s="66"/>
      <c r="H33" s="22"/>
      <c r="I33" s="22"/>
      <c r="J33" s="22"/>
      <c r="K33" s="22"/>
      <c r="L33" s="67"/>
    </row>
    <row r="34" spans="1:12" x14ac:dyDescent="0.3">
      <c r="A34" s="9" t="s">
        <v>67</v>
      </c>
      <c r="B34" s="44">
        <f>B32-B33</f>
        <v>15481690</v>
      </c>
      <c r="C34" s="77">
        <f t="shared" ref="C34:F34" si="78">C32-C33</f>
        <v>20378246</v>
      </c>
      <c r="D34" s="77">
        <f t="shared" si="78"/>
        <v>23932582</v>
      </c>
      <c r="E34" s="77">
        <f t="shared" si="78"/>
        <v>23359558</v>
      </c>
      <c r="F34" s="77">
        <f t="shared" si="78"/>
        <v>28121577</v>
      </c>
      <c r="G34" s="66">
        <f>Table1[[#This Row],[2024]]*(1+F35)</f>
        <v>33854368.86121428</v>
      </c>
      <c r="H34" s="78">
        <f>Table1[[#This Row],[2025]]*(1+G35)</f>
        <v>40755832.825134777</v>
      </c>
      <c r="I34" s="78">
        <f>Table1[[#This Row],[2024]]*(1+H35)</f>
        <v>33854368.86121428</v>
      </c>
      <c r="J34" s="78">
        <f>Table1[[#This Row],[2024]]*(1+I35)</f>
        <v>23359558</v>
      </c>
      <c r="K34" s="78">
        <f>Table1[[#This Row],[2024]]*(1+J35)</f>
        <v>19403924.252020579</v>
      </c>
      <c r="L34" s="67">
        <f>Table1[[#This Row],[2024]]*(1+K35)</f>
        <v>23359558.000000004</v>
      </c>
    </row>
    <row r="35" spans="1:12" x14ac:dyDescent="0.3">
      <c r="A35" s="7" t="s">
        <v>57</v>
      </c>
      <c r="B35" s="66" t="s">
        <v>3</v>
      </c>
      <c r="C35" s="80">
        <f>(C34-B34)/B34</f>
        <v>0.31628045775364316</v>
      </c>
      <c r="D35" s="80">
        <f t="shared" ref="D35:L35" si="79">(D34-C34)/C34</f>
        <v>0.17441815159165316</v>
      </c>
      <c r="E35" s="80">
        <f t="shared" si="79"/>
        <v>-2.3943258608703399E-2</v>
      </c>
      <c r="F35" s="81">
        <f t="shared" si="79"/>
        <v>0.20385741031572602</v>
      </c>
      <c r="G35" s="82">
        <f t="shared" si="79"/>
        <v>0.20385741031572591</v>
      </c>
      <c r="H35" s="82">
        <f t="shared" si="79"/>
        <v>0.20385741031572599</v>
      </c>
      <c r="I35" s="82">
        <f t="shared" si="79"/>
        <v>-0.1693368405335163</v>
      </c>
      <c r="J35" s="82">
        <f t="shared" si="79"/>
        <v>-0.30999871550515901</v>
      </c>
      <c r="K35" s="82">
        <f t="shared" si="79"/>
        <v>-0.16933684053351614</v>
      </c>
      <c r="L35" s="83">
        <f t="shared" si="79"/>
        <v>0.20385741031572596</v>
      </c>
    </row>
    <row r="36" spans="1:12" x14ac:dyDescent="0.3">
      <c r="A36" s="8" t="s">
        <v>37</v>
      </c>
      <c r="B36" s="66">
        <v>7347857</v>
      </c>
      <c r="C36" s="22">
        <v>4142016</v>
      </c>
      <c r="D36" s="22">
        <v>5061021</v>
      </c>
      <c r="E36" s="22">
        <v>5365705</v>
      </c>
      <c r="F36" s="22">
        <v>4897332</v>
      </c>
      <c r="G36" s="66"/>
      <c r="H36" s="22"/>
      <c r="I36" s="22"/>
      <c r="J36" s="22"/>
      <c r="K36" s="22"/>
      <c r="L36" s="67"/>
    </row>
    <row r="37" spans="1:12" x14ac:dyDescent="0.3">
      <c r="A37" s="9" t="s">
        <v>38</v>
      </c>
      <c r="B37" s="44">
        <f>B33-B36</f>
        <v>23201333</v>
      </c>
      <c r="C37" s="23">
        <f>C33-C36</f>
        <v>38451143</v>
      </c>
      <c r="D37" s="23">
        <f>D33-D36</f>
        <v>26840493</v>
      </c>
      <c r="E37" s="23">
        <f>E33-E36</f>
        <v>31385974</v>
      </c>
      <c r="F37" s="62">
        <f>F33-F36</f>
        <v>37418867</v>
      </c>
      <c r="G37" s="22"/>
      <c r="H37" s="22"/>
      <c r="I37" s="22"/>
      <c r="J37" s="22"/>
      <c r="K37" s="22"/>
      <c r="L37" s="67"/>
    </row>
    <row r="38" spans="1:12" x14ac:dyDescent="0.3">
      <c r="A38" s="9" t="s">
        <v>22</v>
      </c>
      <c r="B38" s="72">
        <v>0.09</v>
      </c>
      <c r="G38" s="34"/>
      <c r="L38" s="52"/>
    </row>
    <row r="39" spans="1:12" x14ac:dyDescent="0.3">
      <c r="A39" s="8" t="s">
        <v>23</v>
      </c>
      <c r="B39" s="48"/>
      <c r="G39" s="34">
        <v>0.5</v>
      </c>
      <c r="H39" s="3">
        <v>1.5</v>
      </c>
      <c r="I39" s="3">
        <v>2.5</v>
      </c>
      <c r="J39" s="3">
        <v>3.5</v>
      </c>
      <c r="K39" s="3">
        <v>4.5</v>
      </c>
      <c r="L39" s="52">
        <v>5.5</v>
      </c>
    </row>
    <row r="40" spans="1:12" x14ac:dyDescent="0.3">
      <c r="A40" s="8" t="s">
        <v>24</v>
      </c>
      <c r="B40" s="47"/>
      <c r="C40" s="24"/>
      <c r="D40" s="24"/>
      <c r="E40" s="24"/>
      <c r="F40" s="24"/>
      <c r="G40" s="45">
        <f>1/(1+$B$38)^G39</f>
        <v>0.95782628522115132</v>
      </c>
      <c r="H40" s="26">
        <f t="shared" ref="H40:L40" si="80">1/(1+$B$38)^H39</f>
        <v>0.8787397112120654</v>
      </c>
      <c r="I40" s="26">
        <f t="shared" si="80"/>
        <v>0.80618322129547271</v>
      </c>
      <c r="J40" s="26">
        <f t="shared" si="80"/>
        <v>0.73961763421603011</v>
      </c>
      <c r="K40" s="26">
        <f t="shared" si="80"/>
        <v>0.67854828827158709</v>
      </c>
      <c r="L40" s="63">
        <f t="shared" si="80"/>
        <v>0.62252136538677716</v>
      </c>
    </row>
    <row r="41" spans="1:12" x14ac:dyDescent="0.3">
      <c r="A41" s="9" t="s">
        <v>26</v>
      </c>
      <c r="G41" s="74">
        <f>G28*G40</f>
        <v>6345823.2879808992</v>
      </c>
      <c r="H41" s="74">
        <f>H28*H40</f>
        <v>7498445.1661013374</v>
      </c>
      <c r="I41" s="74">
        <f>I28*I40</f>
        <v>8845247.8704464547</v>
      </c>
      <c r="J41" s="74">
        <f>J28*J40</f>
        <v>10225676.635113848</v>
      </c>
      <c r="K41" s="74">
        <f>K28*K40</f>
        <v>11406324.262571208</v>
      </c>
      <c r="L41" s="74">
        <f>L28*L40</f>
        <v>11998376.458148487</v>
      </c>
    </row>
    <row r="44" spans="1:12" x14ac:dyDescent="0.3">
      <c r="A44" s="65" t="s">
        <v>29</v>
      </c>
      <c r="B44" s="64">
        <f>L28</f>
        <v>19273838.819481812</v>
      </c>
      <c r="D44" s="10"/>
      <c r="E44" s="23"/>
    </row>
    <row r="45" spans="1:12" x14ac:dyDescent="0.3">
      <c r="A45" s="65" t="s">
        <v>30</v>
      </c>
      <c r="B45" s="71">
        <v>2.5000000000000001E-2</v>
      </c>
      <c r="D45" s="10"/>
      <c r="E45" s="23"/>
    </row>
    <row r="46" spans="1:12" x14ac:dyDescent="0.3">
      <c r="A46" s="65" t="s">
        <v>22</v>
      </c>
      <c r="B46" s="71">
        <f>B38</f>
        <v>0.09</v>
      </c>
      <c r="D46" s="10"/>
      <c r="E46" s="23"/>
    </row>
    <row r="47" spans="1:12" x14ac:dyDescent="0.3">
      <c r="A47" s="65" t="s">
        <v>27</v>
      </c>
      <c r="B47" s="64">
        <f>(B44*(1+B45))/(B46-B45)</f>
        <v>303933612.15336698</v>
      </c>
      <c r="D47" s="10"/>
      <c r="E47" s="23"/>
    </row>
    <row r="48" spans="1:12" x14ac:dyDescent="0.3">
      <c r="A48" s="65" t="s">
        <v>28</v>
      </c>
      <c r="B48" s="64">
        <f>B47*L40</f>
        <v>189205167.22464919</v>
      </c>
      <c r="D48" s="10"/>
      <c r="E48" s="23"/>
    </row>
    <row r="49" spans="1:5" x14ac:dyDescent="0.3">
      <c r="D49" s="10"/>
      <c r="E49" s="19"/>
    </row>
    <row r="50" spans="1:5" x14ac:dyDescent="0.3">
      <c r="A50" s="73" t="s">
        <v>31</v>
      </c>
      <c r="B50" s="69">
        <f>SUM(G28:L28)</f>
        <v>76039531.833630174</v>
      </c>
      <c r="D50" s="10"/>
      <c r="E50" s="10"/>
    </row>
    <row r="51" spans="1:5" x14ac:dyDescent="0.3">
      <c r="A51" s="73" t="s">
        <v>25</v>
      </c>
      <c r="B51" s="69">
        <f>B48</f>
        <v>189205167.22464919</v>
      </c>
    </row>
    <row r="52" spans="1:5" x14ac:dyDescent="0.3">
      <c r="A52" s="73" t="s">
        <v>32</v>
      </c>
      <c r="B52" s="69">
        <f>B50+B51</f>
        <v>265244699.05827937</v>
      </c>
    </row>
    <row r="53" spans="1:5" x14ac:dyDescent="0.3">
      <c r="A53" s="73" t="s">
        <v>38</v>
      </c>
      <c r="B53" s="69">
        <f>F37</f>
        <v>37418867</v>
      </c>
    </row>
    <row r="54" spans="1:5" x14ac:dyDescent="0.3">
      <c r="A54" s="73" t="s">
        <v>39</v>
      </c>
      <c r="B54" s="69">
        <f>B52-B53</f>
        <v>227825832.05827937</v>
      </c>
    </row>
    <row r="55" spans="1:5" x14ac:dyDescent="0.3">
      <c r="A55" s="73" t="s">
        <v>40</v>
      </c>
      <c r="B55" s="70">
        <v>1461484209</v>
      </c>
    </row>
    <row r="56" spans="1:5" x14ac:dyDescent="0.3">
      <c r="A56" s="73" t="s">
        <v>41</v>
      </c>
      <c r="B56" s="68">
        <f>B54/B55</f>
        <v>0.15588661899683884</v>
      </c>
    </row>
  </sheetData>
  <mergeCells count="3">
    <mergeCell ref="A1:R1"/>
    <mergeCell ref="B3:F3"/>
    <mergeCell ref="G3:L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F6714-4B4E-4B0E-AF49-AB9A558C89A1}">
  <dimension ref="B1:I11"/>
  <sheetViews>
    <sheetView tabSelected="1" workbookViewId="0">
      <selection activeCell="H17" sqref="H17"/>
    </sheetView>
  </sheetViews>
  <sheetFormatPr defaultRowHeight="14" x14ac:dyDescent="0.3"/>
  <cols>
    <col min="1" max="1" width="8.7265625" style="1"/>
    <col min="2" max="2" width="18.1796875" style="12" bestFit="1" customWidth="1"/>
    <col min="3" max="9" width="15.36328125" style="1" bestFit="1" customWidth="1"/>
    <col min="10" max="16384" width="8.7265625" style="1"/>
  </cols>
  <sheetData>
    <row r="1" spans="2:9" x14ac:dyDescent="0.3">
      <c r="B1" s="84" t="s">
        <v>55</v>
      </c>
      <c r="C1" s="85" t="s">
        <v>48</v>
      </c>
      <c r="D1" s="85" t="s">
        <v>49</v>
      </c>
      <c r="E1" s="85" t="s">
        <v>50</v>
      </c>
      <c r="F1" s="85" t="s">
        <v>51</v>
      </c>
      <c r="G1" s="85" t="s">
        <v>52</v>
      </c>
      <c r="H1" s="85" t="s">
        <v>53</v>
      </c>
      <c r="I1" s="35" t="s">
        <v>54</v>
      </c>
    </row>
    <row r="2" spans="2:9" x14ac:dyDescent="0.3">
      <c r="B2" s="86" t="s">
        <v>56</v>
      </c>
      <c r="C2" s="87">
        <f>Valuation!F5</f>
        <v>134341153</v>
      </c>
      <c r="D2" s="87">
        <f>Valuation!G5</f>
        <v>152583511.47340074</v>
      </c>
      <c r="E2" s="87">
        <f>Valuation!H5</f>
        <v>173303023.33755776</v>
      </c>
      <c r="F2" s="87">
        <f>Valuation!I5</f>
        <v>194099386.13806471</v>
      </c>
      <c r="G2" s="87">
        <f>Valuation!J5</f>
        <v>213509324.7518712</v>
      </c>
      <c r="H2" s="87">
        <f>Valuation!K5</f>
        <v>230590070.73202091</v>
      </c>
      <c r="I2" s="88">
        <f>Valuation!L5</f>
        <v>244425474.97594219</v>
      </c>
    </row>
    <row r="3" spans="2:9" x14ac:dyDescent="0.3">
      <c r="B3" s="86" t="s">
        <v>57</v>
      </c>
      <c r="C3" s="89">
        <f>Valuation!F6</f>
        <v>0.1357912900554066</v>
      </c>
      <c r="D3" s="89">
        <f>Valuation!G6</f>
        <v>0.13579129005540649</v>
      </c>
      <c r="E3" s="89">
        <f>Valuation!H6</f>
        <v>0.12</v>
      </c>
      <c r="F3" s="89">
        <f>Valuation!I6</f>
        <v>0.1</v>
      </c>
      <c r="G3" s="89">
        <f>Valuation!J6</f>
        <v>0.08</v>
      </c>
      <c r="H3" s="89">
        <f>Valuation!K6</f>
        <v>0.06</v>
      </c>
      <c r="I3" s="90">
        <f>Valuation!L6</f>
        <v>0.05</v>
      </c>
    </row>
    <row r="4" spans="2:9" x14ac:dyDescent="0.3">
      <c r="B4" s="86" t="s">
        <v>58</v>
      </c>
      <c r="C4" s="89">
        <f>Valuation!F19</f>
        <v>3.0397267767978738E-2</v>
      </c>
      <c r="D4" s="89">
        <f>Valuation!G19</f>
        <v>3.9856741170390987E-2</v>
      </c>
      <c r="E4" s="89">
        <f>Valuation!H19</f>
        <v>4.9332159212236867E-2</v>
      </c>
      <c r="F4" s="89">
        <f>Valuation!I19</f>
        <v>5.9436996306963648E-2</v>
      </c>
      <c r="G4" s="89">
        <f>Valuation!J19</f>
        <v>7.0051111320467749E-2</v>
      </c>
      <c r="H4" s="89">
        <f>Valuation!K19</f>
        <v>8.0160706367188833E-2</v>
      </c>
      <c r="I4" s="90">
        <f>Valuation!L19</f>
        <v>8.7171552630942409E-2</v>
      </c>
    </row>
    <row r="5" spans="2:9" x14ac:dyDescent="0.3">
      <c r="B5" s="86" t="s">
        <v>17</v>
      </c>
      <c r="C5" s="91">
        <f>Valuation!F23</f>
        <v>3266883.2</v>
      </c>
      <c r="D5" s="91">
        <f>Valuation!G23</f>
        <v>4865185.2189317737</v>
      </c>
      <c r="E5" s="91">
        <f>Valuation!H23</f>
        <v>6839529.8714003209</v>
      </c>
      <c r="F5" s="91">
        <f>Valuation!I23</f>
        <v>9229347.5976576507</v>
      </c>
      <c r="G5" s="91">
        <f>Valuation!J23</f>
        <v>11965252.380920984</v>
      </c>
      <c r="H5" s="91">
        <f>Valuation!K23</f>
        <v>14787410.360911066</v>
      </c>
      <c r="I5" s="92">
        <f>Valuation!L23</f>
        <v>17045558.524966754</v>
      </c>
    </row>
    <row r="6" spans="2:9" x14ac:dyDescent="0.3">
      <c r="B6" s="86" t="s">
        <v>59</v>
      </c>
      <c r="C6" s="93">
        <f>Valuation!F23/Valuation!$B$55</f>
        <v>2.2353188490728333E-3</v>
      </c>
      <c r="D6" s="93">
        <f>Valuation!G23/Valuation!$B$55</f>
        <v>3.3289345098437349E-3</v>
      </c>
      <c r="E6" s="93">
        <f>Valuation!H23/Valuation!$B$55</f>
        <v>4.6798520499103944E-3</v>
      </c>
      <c r="F6" s="93">
        <f>Valuation!I23/Valuation!$B$55</f>
        <v>6.3150511930421078E-3</v>
      </c>
      <c r="G6" s="93">
        <f>Valuation!J23/Valuation!$B$55</f>
        <v>8.1870555338453086E-3</v>
      </c>
      <c r="H6" s="93">
        <f>Valuation!K23/Valuation!$B$55</f>
        <v>1.0118077410517588E-2</v>
      </c>
      <c r="I6" s="94">
        <f>Valuation!L23/Valuation!$B$55</f>
        <v>1.1663183508927501E-2</v>
      </c>
    </row>
    <row r="7" spans="2:9" x14ac:dyDescent="0.3">
      <c r="B7" s="86" t="s">
        <v>64</v>
      </c>
      <c r="C7" s="89" t="s">
        <v>3</v>
      </c>
      <c r="D7" s="89">
        <f>(D6-C6)/C6</f>
        <v>0.48924369837641374</v>
      </c>
      <c r="E7" s="89">
        <f t="shared" ref="E7:I7" si="0">(E6-D6)/D6</f>
        <v>0.40581078902933226</v>
      </c>
      <c r="F7" s="89">
        <f t="shared" si="0"/>
        <v>0.34941257238314249</v>
      </c>
      <c r="G7" s="89">
        <f t="shared" si="0"/>
        <v>0.29643533893529889</v>
      </c>
      <c r="H7" s="89">
        <f t="shared" si="0"/>
        <v>0.23586280423889031</v>
      </c>
      <c r="I7" s="89">
        <f t="shared" si="0"/>
        <v>0.15270747946678079</v>
      </c>
    </row>
    <row r="8" spans="2:9" x14ac:dyDescent="0.3">
      <c r="B8" s="86" t="s">
        <v>60</v>
      </c>
      <c r="C8" s="89">
        <f>Valuation!F17</f>
        <v>5.2083987994356429E-2</v>
      </c>
      <c r="D8" s="89">
        <f>Valuation!G17</f>
        <v>5.9364756643439737E-2</v>
      </c>
      <c r="E8" s="89">
        <f>Valuation!H17</f>
        <v>6.6842927532863139E-2</v>
      </c>
      <c r="F8" s="89">
        <f>Valuation!I17</f>
        <v>7.5345384992503761E-2</v>
      </c>
      <c r="G8" s="89">
        <f>Valuation!J17</f>
        <v>8.4743352698749858E-2</v>
      </c>
      <c r="H8" s="89">
        <f>Valuation!K17</f>
        <v>9.3964505751447908E-2</v>
      </c>
      <c r="I8" s="90">
        <f>Valuation!L17</f>
        <v>0.10037376419858388</v>
      </c>
    </row>
    <row r="9" spans="2:9" x14ac:dyDescent="0.3">
      <c r="B9" s="86" t="s">
        <v>61</v>
      </c>
      <c r="C9" s="95">
        <f>Valuation!F28/Valuation!F5</f>
        <v>3.7765687108551167E-2</v>
      </c>
      <c r="D9" s="95">
        <f>Valuation!G28/Valuation!G5</f>
        <v>4.3420379789498184E-2</v>
      </c>
      <c r="E9" s="95">
        <f>Valuation!H28/Valuation!H5</f>
        <v>4.9238501533144276E-2</v>
      </c>
      <c r="F9" s="95">
        <f>Valuation!I28/Valuation!I5</f>
        <v>5.6526499338112553E-2</v>
      </c>
      <c r="G9" s="95">
        <f>Valuation!J28/Valuation!J5</f>
        <v>6.4754201258815855E-2</v>
      </c>
      <c r="H9" s="95">
        <f>Valuation!K28/Valuation!K5</f>
        <v>7.2899466811434346E-2</v>
      </c>
      <c r="I9" s="96">
        <f>Valuation!L28/Valuation!L5</f>
        <v>7.8853641672901972E-2</v>
      </c>
    </row>
    <row r="10" spans="2:9" x14ac:dyDescent="0.3">
      <c r="B10" s="86" t="s">
        <v>62</v>
      </c>
      <c r="C10" s="95">
        <f>Valuation!$B$54/Valuation!F16</f>
        <v>32.560394907702801</v>
      </c>
      <c r="D10" s="95">
        <f>Valuation!$B$54/Valuation!G16</f>
        <v>25.151660830859491</v>
      </c>
      <c r="E10" s="95">
        <f>Valuation!$B$54/Valuation!H16</f>
        <v>19.667146975051047</v>
      </c>
      <c r="F10" s="95">
        <f>Valuation!$B$54/Valuation!I16</f>
        <v>15.578374747199874</v>
      </c>
      <c r="G10" s="95">
        <f>Valuation!$B$54/Valuation!J16</f>
        <v>12.591587159728052</v>
      </c>
      <c r="H10" s="95">
        <f>Valuation!$B$54/Valuation!K16</f>
        <v>10.514739770722196</v>
      </c>
      <c r="I10" s="96">
        <f>Valuation!$B$54/Valuation!L16</f>
        <v>9.286162645411105</v>
      </c>
    </row>
    <row r="11" spans="2:9" x14ac:dyDescent="0.3">
      <c r="B11" s="97" t="s">
        <v>63</v>
      </c>
      <c r="C11" s="98">
        <f>Valuation!F22/Valuation!F34</f>
        <v>0.11616998577284625</v>
      </c>
      <c r="D11" s="98">
        <f>Valuation!G22/Valuation!G34</f>
        <v>0.14370922816126222</v>
      </c>
      <c r="E11" s="98">
        <f>Valuation!H22/Valuation!H34</f>
        <v>0.16781720301841735</v>
      </c>
      <c r="F11" s="98">
        <f>Valuation!I22/Valuation!I34</f>
        <v>0.27261910081659735</v>
      </c>
      <c r="G11" s="98">
        <f>Valuation!J22/Valuation!J34</f>
        <v>0.5122208382933009</v>
      </c>
      <c r="H11" s="98">
        <f>Valuation!K22/Valuation!K34</f>
        <v>0.76208349243433149</v>
      </c>
      <c r="I11" s="99">
        <f>Valuation!L22/Valuation!L34</f>
        <v>0.72970381224536662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Valuation</vt:lpstr>
      <vt:lpstr>Executive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saung hlaing</dc:creator>
  <cp:lastModifiedBy>saung hlaing</cp:lastModifiedBy>
  <dcterms:created xsi:type="dcterms:W3CDTF">2025-07-28T07:49:26Z</dcterms:created>
  <dcterms:modified xsi:type="dcterms:W3CDTF">2025-08-05T13:25:23Z</dcterms:modified>
</cp:coreProperties>
</file>